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Warren\Downloads\"/>
    </mc:Choice>
  </mc:AlternateContent>
  <xr:revisionPtr revIDLastSave="0" documentId="13_ncr:1_{476C842A-F4E2-441F-862F-4F9BDEAF8164}" xr6:coauthVersionLast="47" xr6:coauthVersionMax="47" xr10:uidLastSave="{00000000-0000-0000-0000-000000000000}"/>
  <bookViews>
    <workbookView xWindow="28680" yWindow="-120" windowWidth="29040" windowHeight="15840" tabRatio="498" activeTab="3" xr2:uid="{00000000-000D-0000-FFFF-FFFF00000000}"/>
  </bookViews>
  <sheets>
    <sheet name="Round B1" sheetId="2" r:id="rId1"/>
    <sheet name="Round B" sheetId="10" state="veryHidden" r:id="rId2"/>
    <sheet name="build 70B1" sheetId="9" state="veryHidden" r:id="rId3"/>
    <sheet name="Flow charts" sheetId="8" r:id="rId4"/>
    <sheet name="build 63" sheetId="6" state="veryHidden" r:id="rId5"/>
    <sheet name="340 table" sheetId="5" state="veryHidden" r:id="rId6"/>
    <sheet name="450 table" sheetId="7" state="very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2" i="2" l="1"/>
  <c r="G86" i="2"/>
  <c r="G77" i="2"/>
  <c r="G15" i="2"/>
  <c r="H147" i="2" l="1"/>
  <c r="G147" i="2" s="1"/>
  <c r="E147" i="2"/>
  <c r="H146" i="2"/>
  <c r="G146" i="2" s="1"/>
  <c r="E146" i="2"/>
  <c r="H145" i="2"/>
  <c r="G145" i="2" s="1"/>
  <c r="E145" i="2"/>
  <c r="H144" i="2"/>
  <c r="G144" i="2" s="1"/>
  <c r="E144" i="2"/>
  <c r="E135" i="2"/>
  <c r="E134" i="2"/>
  <c r="E133" i="2"/>
  <c r="E132" i="2"/>
  <c r="E131" i="2"/>
  <c r="E130" i="2"/>
  <c r="E128" i="2"/>
  <c r="E127" i="2"/>
  <c r="E126" i="2"/>
  <c r="E125" i="2"/>
  <c r="E124" i="2"/>
  <c r="E123" i="2"/>
  <c r="E142" i="2"/>
  <c r="E141" i="2"/>
  <c r="E139" i="2"/>
  <c r="E140" i="2"/>
  <c r="E138" i="2"/>
  <c r="E137" i="2"/>
  <c r="H140" i="2" l="1"/>
  <c r="G140" i="2" s="1"/>
  <c r="H132" i="2"/>
  <c r="G132" i="2" s="1"/>
  <c r="H139" i="2"/>
  <c r="G139" i="2" s="1"/>
  <c r="H124" i="2"/>
  <c r="G124" i="2" s="1"/>
  <c r="H128" i="2"/>
  <c r="G128" i="2" s="1"/>
  <c r="H133" i="2"/>
  <c r="G133" i="2" s="1"/>
  <c r="H123" i="2"/>
  <c r="G123" i="2" s="1"/>
  <c r="H141" i="2"/>
  <c r="G141" i="2" s="1"/>
  <c r="H130" i="2"/>
  <c r="G130" i="2" s="1"/>
  <c r="H134" i="2"/>
  <c r="G134" i="2" s="1"/>
  <c r="H127" i="2"/>
  <c r="G127" i="2" s="1"/>
  <c r="H137" i="2"/>
  <c r="G137" i="2" s="1"/>
  <c r="H125" i="2"/>
  <c r="G125" i="2" s="1"/>
  <c r="H138" i="2"/>
  <c r="G138" i="2" s="1"/>
  <c r="H142" i="2"/>
  <c r="G142" i="2" s="1"/>
  <c r="H126" i="2"/>
  <c r="G126" i="2" s="1"/>
  <c r="H131" i="2"/>
  <c r="G131" i="2" s="1"/>
  <c r="H135" i="2"/>
  <c r="G135" i="2" s="1"/>
  <c r="E110" i="2"/>
  <c r="A75" i="8" l="1"/>
  <c r="AD63" i="2" l="1"/>
  <c r="AD64" i="2"/>
  <c r="AD65" i="2"/>
  <c r="AD66" i="2"/>
  <c r="AD67" i="2"/>
  <c r="AD68" i="2"/>
  <c r="AD69" i="2"/>
  <c r="AD70" i="2"/>
  <c r="AC63" i="2"/>
  <c r="AC64" i="2"/>
  <c r="AC65" i="2"/>
  <c r="AC66" i="2"/>
  <c r="AC67" i="2"/>
  <c r="AC68" i="2"/>
  <c r="AC69" i="2"/>
  <c r="AC70" i="2"/>
  <c r="AB63" i="2"/>
  <c r="AG63" i="2" s="1"/>
  <c r="AB64" i="2"/>
  <c r="AG64" i="2" s="1"/>
  <c r="AB65" i="2"/>
  <c r="AB66" i="2"/>
  <c r="AB67" i="2"/>
  <c r="AG67" i="2" s="1"/>
  <c r="AB68" i="2"/>
  <c r="AG68" i="2" s="1"/>
  <c r="AB69" i="2"/>
  <c r="AG69" i="2" s="1"/>
  <c r="AB70" i="2"/>
  <c r="AD62" i="2"/>
  <c r="AC62" i="2"/>
  <c r="AB62" i="2"/>
  <c r="AA63" i="2"/>
  <c r="AA64" i="2"/>
  <c r="AA65" i="2"/>
  <c r="AA66" i="2"/>
  <c r="AA67" i="2"/>
  <c r="AA68" i="2"/>
  <c r="AA69" i="2"/>
  <c r="AA70" i="2"/>
  <c r="AA62" i="2"/>
  <c r="O69" i="2"/>
  <c r="W69" i="2" s="1"/>
  <c r="R68" i="2"/>
  <c r="Z68" i="2" s="1"/>
  <c r="P67" i="2"/>
  <c r="X67" i="2" s="1"/>
  <c r="O65" i="2"/>
  <c r="W65" i="2" s="1"/>
  <c r="Q64" i="2"/>
  <c r="Y64" i="2" s="1"/>
  <c r="AH64" i="2" s="1"/>
  <c r="O63" i="2"/>
  <c r="W63" i="2" s="1"/>
  <c r="Q62" i="2"/>
  <c r="Y62" i="2" s="1"/>
  <c r="R63" i="2"/>
  <c r="Z63" i="2" s="1"/>
  <c r="R64" i="2"/>
  <c r="Z64" i="2" s="1"/>
  <c r="R65" i="2"/>
  <c r="Z65" i="2" s="1"/>
  <c r="R66" i="2"/>
  <c r="Z66" i="2" s="1"/>
  <c r="R67" i="2"/>
  <c r="Z67" i="2" s="1"/>
  <c r="R70" i="2"/>
  <c r="Z70" i="2" s="1"/>
  <c r="R71" i="2"/>
  <c r="Z71" i="2" s="1"/>
  <c r="R72" i="2"/>
  <c r="Z72" i="2" s="1"/>
  <c r="R62" i="2"/>
  <c r="Z62" i="2" s="1"/>
  <c r="O62" i="2"/>
  <c r="W62" i="2" s="1"/>
  <c r="P63" i="2"/>
  <c r="X63" i="2" s="1"/>
  <c r="Q63" i="2"/>
  <c r="Y63" i="2" s="1"/>
  <c r="O64" i="2"/>
  <c r="W64" i="2" s="1"/>
  <c r="P64" i="2"/>
  <c r="X64" i="2" s="1"/>
  <c r="O66" i="2"/>
  <c r="W66" i="2" s="1"/>
  <c r="P66" i="2"/>
  <c r="X66" i="2" s="1"/>
  <c r="Q66" i="2"/>
  <c r="Y66" i="2" s="1"/>
  <c r="O67" i="2"/>
  <c r="W67" i="2" s="1"/>
  <c r="Q67" i="2"/>
  <c r="Y67" i="2" s="1"/>
  <c r="P69" i="2"/>
  <c r="X69" i="2" s="1"/>
  <c r="Q69" i="2"/>
  <c r="Y69" i="2" s="1"/>
  <c r="O70" i="2"/>
  <c r="W70" i="2" s="1"/>
  <c r="P70" i="2"/>
  <c r="X70" i="2" s="1"/>
  <c r="Q70" i="2"/>
  <c r="Y70" i="2" s="1"/>
  <c r="AG62" i="2" l="1"/>
  <c r="AG65" i="2"/>
  <c r="AH63" i="2"/>
  <c r="AH66" i="2"/>
  <c r="AH70" i="2"/>
  <c r="AH69" i="2"/>
  <c r="AI69" i="2" s="1"/>
  <c r="AH67" i="2"/>
  <c r="AI67" i="2" s="1"/>
  <c r="AG66" i="2"/>
  <c r="AG70" i="2"/>
  <c r="AI64" i="2"/>
  <c r="AI63" i="2"/>
  <c r="Q68" i="2"/>
  <c r="Y68" i="2" s="1"/>
  <c r="P68" i="2"/>
  <c r="X68" i="2" s="1"/>
  <c r="Q65" i="2"/>
  <c r="Y65" i="2" s="1"/>
  <c r="R69" i="2"/>
  <c r="Z69" i="2" s="1"/>
  <c r="O68" i="2"/>
  <c r="W68" i="2" s="1"/>
  <c r="P65" i="2"/>
  <c r="X65" i="2" s="1"/>
  <c r="P62" i="2"/>
  <c r="X62" i="2" s="1"/>
  <c r="AH62" i="2" s="1"/>
  <c r="AI62" i="2" l="1"/>
  <c r="AI70" i="2"/>
  <c r="AH65" i="2"/>
  <c r="AI65" i="2" s="1"/>
  <c r="AI66" i="2"/>
  <c r="AH68" i="2"/>
  <c r="AI68" i="2" s="1"/>
  <c r="AK30" i="2"/>
  <c r="AK21" i="2" l="1"/>
  <c r="Q48" i="2"/>
  <c r="Q41" i="2"/>
  <c r="Q42" i="2"/>
  <c r="Q43" i="2"/>
  <c r="Q44" i="2"/>
  <c r="Q45" i="2"/>
  <c r="Q46" i="2"/>
  <c r="Q47" i="2"/>
  <c r="Q40" i="2"/>
  <c r="Q39" i="2"/>
  <c r="AK40" i="2"/>
  <c r="AK39" i="2"/>
  <c r="AK29" i="2"/>
  <c r="AK20" i="2"/>
  <c r="Z41" i="2" l="1"/>
  <c r="Z42" i="2"/>
  <c r="Z43" i="2"/>
  <c r="Z40" i="2"/>
  <c r="Z39" i="2"/>
  <c r="O51" i="2" l="1"/>
  <c r="O52" i="2"/>
  <c r="O53" i="2"/>
  <c r="O54" i="2"/>
  <c r="O55" i="2"/>
  <c r="O56" i="2"/>
  <c r="O57" i="2"/>
  <c r="O58" i="2"/>
  <c r="O59" i="2"/>
  <c r="P40" i="2"/>
  <c r="P41" i="2"/>
  <c r="P42" i="2"/>
  <c r="P43" i="2"/>
  <c r="P44" i="2"/>
  <c r="P45" i="2"/>
  <c r="P46" i="2"/>
  <c r="P47" i="2"/>
  <c r="P48" i="2"/>
  <c r="O40" i="2"/>
  <c r="O41" i="2"/>
  <c r="O42" i="2"/>
  <c r="O43" i="2"/>
  <c r="O44" i="2"/>
  <c r="O45" i="2"/>
  <c r="O46" i="2"/>
  <c r="O47" i="2"/>
  <c r="O48" i="2"/>
  <c r="O50" i="2"/>
  <c r="O71" i="2"/>
  <c r="W71" i="2" s="1"/>
  <c r="O72" i="2"/>
  <c r="W72" i="2" s="1"/>
  <c r="P30" i="2"/>
  <c r="P31" i="2"/>
  <c r="P32" i="2"/>
  <c r="P33" i="2"/>
  <c r="P34" i="2"/>
  <c r="P35" i="2"/>
  <c r="P36" i="2"/>
  <c r="P37" i="2"/>
  <c r="O87" i="2" l="1"/>
  <c r="P87" i="2"/>
  <c r="Q87" i="2"/>
  <c r="O88" i="2"/>
  <c r="P88" i="2"/>
  <c r="Q88" i="2"/>
  <c r="O89" i="2"/>
  <c r="P89" i="2"/>
  <c r="Q89" i="2"/>
  <c r="O90" i="2"/>
  <c r="P90" i="2"/>
  <c r="Q90" i="2"/>
  <c r="O91" i="2"/>
  <c r="P91" i="2"/>
  <c r="Q91" i="2"/>
  <c r="O92" i="2"/>
  <c r="P92" i="2"/>
  <c r="Q92" i="2"/>
  <c r="E88" i="2"/>
  <c r="E89" i="2"/>
  <c r="E90" i="2"/>
  <c r="E91" i="2"/>
  <c r="E92" i="2"/>
  <c r="E93" i="2"/>
  <c r="E94" i="2"/>
  <c r="E95" i="2"/>
  <c r="E96" i="2"/>
  <c r="E97" i="2"/>
  <c r="E87" i="2"/>
  <c r="E87" i="9"/>
  <c r="E88" i="9"/>
  <c r="E89" i="9"/>
  <c r="E90" i="9"/>
  <c r="E91" i="9"/>
  <c r="E92" i="9"/>
  <c r="E93" i="9"/>
  <c r="E94" i="9"/>
  <c r="E95" i="9"/>
  <c r="E96" i="9"/>
  <c r="E86" i="9"/>
  <c r="E99" i="9"/>
  <c r="P86" i="9"/>
  <c r="Q86" i="9"/>
  <c r="R86" i="9"/>
  <c r="P87" i="9"/>
  <c r="Q87" i="9"/>
  <c r="R87" i="9"/>
  <c r="P88" i="9"/>
  <c r="Q88" i="9"/>
  <c r="R88" i="9"/>
  <c r="P89" i="9"/>
  <c r="Q89" i="9"/>
  <c r="R89" i="9"/>
  <c r="P90" i="9"/>
  <c r="Q90" i="9"/>
  <c r="R90" i="9"/>
  <c r="P91" i="9"/>
  <c r="Q91" i="9"/>
  <c r="R91" i="9"/>
  <c r="E111" i="10" l="1"/>
  <c r="G111" i="10" s="1"/>
  <c r="E110" i="10"/>
  <c r="F110" i="10" s="1"/>
  <c r="E109" i="10"/>
  <c r="G109" i="10" s="1"/>
  <c r="E108" i="10"/>
  <c r="F108" i="10" s="1"/>
  <c r="E107" i="10"/>
  <c r="G107" i="10" s="1"/>
  <c r="E106" i="10"/>
  <c r="F106" i="10" s="1"/>
  <c r="E105" i="10"/>
  <c r="G105" i="10" s="1"/>
  <c r="E104" i="10"/>
  <c r="E103" i="10"/>
  <c r="F103" i="10" s="1"/>
  <c r="E102" i="10"/>
  <c r="F102" i="10" s="1"/>
  <c r="F101" i="10"/>
  <c r="E101" i="10"/>
  <c r="G101" i="10" s="1"/>
  <c r="E100" i="10"/>
  <c r="F100" i="10" s="1"/>
  <c r="E99" i="10"/>
  <c r="G99" i="10" s="1"/>
  <c r="E98" i="10"/>
  <c r="F98" i="10" s="1"/>
  <c r="E97" i="10"/>
  <c r="G97" i="10" s="1"/>
  <c r="E96" i="10"/>
  <c r="E95" i="10"/>
  <c r="G95" i="10" s="1"/>
  <c r="E94" i="10"/>
  <c r="G94" i="10" s="1"/>
  <c r="E93" i="10"/>
  <c r="F93" i="10" s="1"/>
  <c r="E90" i="10"/>
  <c r="G90" i="10" s="1"/>
  <c r="E89" i="10"/>
  <c r="G88" i="10"/>
  <c r="E88" i="10"/>
  <c r="F88" i="10" s="1"/>
  <c r="E87" i="10"/>
  <c r="G87" i="10" s="1"/>
  <c r="E86" i="10"/>
  <c r="G86" i="10" s="1"/>
  <c r="E85" i="10"/>
  <c r="F85" i="10" s="1"/>
  <c r="E84" i="10"/>
  <c r="G84" i="10" s="1"/>
  <c r="E83" i="10"/>
  <c r="F83" i="10" s="1"/>
  <c r="E82" i="10"/>
  <c r="G82" i="10" s="1"/>
  <c r="Z81" i="10"/>
  <c r="Y81" i="10"/>
  <c r="X81" i="10"/>
  <c r="E81" i="10"/>
  <c r="F81" i="10" s="1"/>
  <c r="E80" i="10"/>
  <c r="E74" i="10"/>
  <c r="F74" i="10" s="1"/>
  <c r="E73" i="10"/>
  <c r="G73" i="10" s="1"/>
  <c r="E72" i="10"/>
  <c r="G72" i="10" s="1"/>
  <c r="F71" i="10"/>
  <c r="E71" i="10"/>
  <c r="G71" i="10" s="1"/>
  <c r="E65" i="10"/>
  <c r="G65" i="10" s="1"/>
  <c r="E64" i="10"/>
  <c r="F64" i="10" s="1"/>
  <c r="G63" i="10"/>
  <c r="E63" i="10"/>
  <c r="F63" i="10" s="1"/>
  <c r="E62" i="10"/>
  <c r="E61" i="10"/>
  <c r="G61" i="10" s="1"/>
  <c r="E60" i="10"/>
  <c r="G60" i="10" s="1"/>
  <c r="E59" i="10"/>
  <c r="G59" i="10" s="1"/>
  <c r="E58" i="10"/>
  <c r="G58" i="10" s="1"/>
  <c r="E57" i="10"/>
  <c r="G57" i="10" s="1"/>
  <c r="E56" i="10"/>
  <c r="G56" i="10" s="1"/>
  <c r="E55" i="10"/>
  <c r="F55" i="10" s="1"/>
  <c r="E53" i="10"/>
  <c r="E52" i="10"/>
  <c r="F52" i="10" s="1"/>
  <c r="E51" i="10"/>
  <c r="G51" i="10" s="1"/>
  <c r="E50" i="10"/>
  <c r="G50" i="10" s="1"/>
  <c r="E49" i="10"/>
  <c r="G49" i="10" s="1"/>
  <c r="E48" i="10"/>
  <c r="G48" i="10" s="1"/>
  <c r="E47" i="10"/>
  <c r="G47" i="10" s="1"/>
  <c r="E46" i="10"/>
  <c r="F46" i="10" s="1"/>
  <c r="E45" i="10"/>
  <c r="E44" i="10"/>
  <c r="F44" i="10" s="1"/>
  <c r="E42" i="10"/>
  <c r="G42" i="10" s="1"/>
  <c r="E41" i="10"/>
  <c r="G41" i="10" s="1"/>
  <c r="E40" i="10"/>
  <c r="F40" i="10" s="1"/>
  <c r="E39" i="10"/>
  <c r="G39" i="10" s="1"/>
  <c r="E38" i="10"/>
  <c r="G38" i="10" s="1"/>
  <c r="E37" i="10"/>
  <c r="F37" i="10" s="1"/>
  <c r="E36" i="10"/>
  <c r="E35" i="10"/>
  <c r="G35" i="10" s="1"/>
  <c r="E34" i="10"/>
  <c r="G34" i="10" s="1"/>
  <c r="E33" i="10"/>
  <c r="G33" i="10" s="1"/>
  <c r="G31" i="10"/>
  <c r="E31" i="10"/>
  <c r="F31" i="10" s="1"/>
  <c r="E30" i="10"/>
  <c r="G30" i="10" s="1"/>
  <c r="E29" i="10"/>
  <c r="F29" i="10" s="1"/>
  <c r="E28" i="10"/>
  <c r="F28" i="10" s="1"/>
  <c r="E27" i="10"/>
  <c r="E26" i="10"/>
  <c r="F26" i="10" s="1"/>
  <c r="E25" i="10"/>
  <c r="G25" i="10" s="1"/>
  <c r="E24" i="10"/>
  <c r="G24" i="10" s="1"/>
  <c r="E23" i="10"/>
  <c r="G23" i="10" s="1"/>
  <c r="E21" i="10"/>
  <c r="G21" i="10" s="1"/>
  <c r="E20" i="10"/>
  <c r="G20" i="10" s="1"/>
  <c r="E19" i="10"/>
  <c r="F19" i="10" s="1"/>
  <c r="E18" i="10"/>
  <c r="E17" i="10"/>
  <c r="F17" i="10" s="1"/>
  <c r="E16" i="10"/>
  <c r="G16" i="10" s="1"/>
  <c r="E15" i="10"/>
  <c r="G15" i="10" s="1"/>
  <c r="E14" i="10"/>
  <c r="G14" i="10" s="1"/>
  <c r="E12" i="10"/>
  <c r="G12" i="10" s="1"/>
  <c r="E11" i="10"/>
  <c r="F11" i="10" s="1"/>
  <c r="E10" i="10"/>
  <c r="F10" i="10" s="1"/>
  <c r="G40" i="10" l="1"/>
  <c r="F58" i="10"/>
  <c r="G28" i="10"/>
  <c r="G81" i="10"/>
  <c r="G85" i="10"/>
  <c r="F111" i="10"/>
  <c r="F14" i="10"/>
  <c r="G46" i="10"/>
  <c r="G19" i="10"/>
  <c r="G103" i="10"/>
  <c r="W103" i="10" s="1"/>
  <c r="F109" i="10"/>
  <c r="G110" i="10"/>
  <c r="F23" i="10"/>
  <c r="G55" i="10"/>
  <c r="G10" i="10"/>
  <c r="F49" i="10"/>
  <c r="G100" i="10"/>
  <c r="G37" i="10"/>
  <c r="F95" i="10"/>
  <c r="G108" i="10"/>
  <c r="G18" i="10"/>
  <c r="F18" i="10"/>
  <c r="G36" i="10"/>
  <c r="F36" i="10"/>
  <c r="G80" i="10"/>
  <c r="W80" i="10" s="1"/>
  <c r="F80" i="10"/>
  <c r="F41" i="10"/>
  <c r="F50" i="10"/>
  <c r="F59" i="10"/>
  <c r="G11" i="10"/>
  <c r="G29" i="10"/>
  <c r="G64" i="10"/>
  <c r="F35" i="10"/>
  <c r="F61" i="10"/>
  <c r="G17" i="10"/>
  <c r="G26" i="10"/>
  <c r="G44" i="10"/>
  <c r="G52" i="10"/>
  <c r="G74" i="10"/>
  <c r="F86" i="10"/>
  <c r="G93" i="10"/>
  <c r="W93" i="10" s="1"/>
  <c r="G98" i="10"/>
  <c r="G27" i="10"/>
  <c r="F27" i="10"/>
  <c r="G53" i="10"/>
  <c r="F53" i="10"/>
  <c r="F38" i="10"/>
  <c r="F47" i="10"/>
  <c r="F56" i="10"/>
  <c r="G89" i="10"/>
  <c r="F89" i="10"/>
  <c r="G96" i="10"/>
  <c r="F96" i="10"/>
  <c r="G104" i="10"/>
  <c r="F104" i="10"/>
  <c r="G83" i="10"/>
  <c r="F15" i="10"/>
  <c r="F24" i="10"/>
  <c r="F33" i="10"/>
  <c r="G45" i="10"/>
  <c r="F45" i="10"/>
  <c r="G62" i="10"/>
  <c r="F62" i="10"/>
  <c r="F72" i="10"/>
  <c r="G106" i="10"/>
  <c r="F20" i="10"/>
  <c r="F107" i="10"/>
  <c r="F84" i="10"/>
  <c r="F99" i="10"/>
  <c r="F12" i="10"/>
  <c r="F21" i="10"/>
  <c r="F30" i="10"/>
  <c r="F39" i="10"/>
  <c r="F48" i="10"/>
  <c r="F57" i="10"/>
  <c r="F65" i="10"/>
  <c r="F87" i="10"/>
  <c r="F94" i="10"/>
  <c r="F16" i="10"/>
  <c r="F25" i="10"/>
  <c r="F34" i="10"/>
  <c r="F42" i="10"/>
  <c r="F51" i="10"/>
  <c r="F60" i="10"/>
  <c r="F73" i="10"/>
  <c r="F82" i="10"/>
  <c r="F90" i="10"/>
  <c r="F97" i="10"/>
  <c r="F105" i="10"/>
  <c r="AE117" i="9" l="1"/>
  <c r="AD117" i="9"/>
  <c r="AC117" i="9"/>
  <c r="V117" i="9"/>
  <c r="AB117" i="9" s="1"/>
  <c r="U117" i="9"/>
  <c r="AA117" i="9" s="1"/>
  <c r="T117" i="9"/>
  <c r="Z117" i="9" s="1"/>
  <c r="E117" i="9"/>
  <c r="G117" i="9" s="1"/>
  <c r="I117" i="9" s="1"/>
  <c r="AE116" i="9"/>
  <c r="AD116" i="9"/>
  <c r="AC116" i="9"/>
  <c r="V116" i="9"/>
  <c r="AB116" i="9" s="1"/>
  <c r="U116" i="9"/>
  <c r="AA116" i="9" s="1"/>
  <c r="T116" i="9"/>
  <c r="Z116" i="9" s="1"/>
  <c r="E116" i="9"/>
  <c r="F116" i="9" s="1"/>
  <c r="AE115" i="9"/>
  <c r="AD115" i="9"/>
  <c r="AH115" i="9" s="1"/>
  <c r="AC115" i="9"/>
  <c r="V115" i="9"/>
  <c r="AB115" i="9" s="1"/>
  <c r="U115" i="9"/>
  <c r="AA115" i="9" s="1"/>
  <c r="AI115" i="9" s="1"/>
  <c r="T115" i="9"/>
  <c r="Z115" i="9" s="1"/>
  <c r="E115" i="9"/>
  <c r="G115" i="9" s="1"/>
  <c r="I115" i="9" s="1"/>
  <c r="AE114" i="9"/>
  <c r="AD114" i="9"/>
  <c r="AC114" i="9"/>
  <c r="V114" i="9"/>
  <c r="AB114" i="9" s="1"/>
  <c r="U114" i="9"/>
  <c r="AA114" i="9" s="1"/>
  <c r="T114" i="9"/>
  <c r="Z114" i="9" s="1"/>
  <c r="E114" i="9"/>
  <c r="G114" i="9" s="1"/>
  <c r="I114" i="9" s="1"/>
  <c r="AE113" i="9"/>
  <c r="AD113" i="9"/>
  <c r="AH113" i="9" s="1"/>
  <c r="AC113" i="9"/>
  <c r="V113" i="9"/>
  <c r="AB113" i="9" s="1"/>
  <c r="U113" i="9"/>
  <c r="AA113" i="9" s="1"/>
  <c r="T113" i="9"/>
  <c r="Z113" i="9" s="1"/>
  <c r="E113" i="9"/>
  <c r="AE112" i="9"/>
  <c r="AD112" i="9"/>
  <c r="AC112" i="9"/>
  <c r="V112" i="9"/>
  <c r="AB112" i="9" s="1"/>
  <c r="U112" i="9"/>
  <c r="AA112" i="9" s="1"/>
  <c r="AI112" i="9" s="1"/>
  <c r="T112" i="9"/>
  <c r="Z112" i="9" s="1"/>
  <c r="E112" i="9"/>
  <c r="F112" i="9" s="1"/>
  <c r="AE111" i="9"/>
  <c r="AD111" i="9"/>
  <c r="AC111" i="9"/>
  <c r="V111" i="9"/>
  <c r="AB111" i="9" s="1"/>
  <c r="U111" i="9"/>
  <c r="AA111" i="9" s="1"/>
  <c r="T111" i="9"/>
  <c r="Z111" i="9" s="1"/>
  <c r="E111" i="9"/>
  <c r="F111" i="9" s="1"/>
  <c r="AE110" i="9"/>
  <c r="AD110" i="9"/>
  <c r="AH110" i="9" s="1"/>
  <c r="AC110" i="9"/>
  <c r="V110" i="9"/>
  <c r="AB110" i="9" s="1"/>
  <c r="U110" i="9"/>
  <c r="AA110" i="9" s="1"/>
  <c r="AI110" i="9" s="1"/>
  <c r="T110" i="9"/>
  <c r="Z110" i="9" s="1"/>
  <c r="E110" i="9"/>
  <c r="F110" i="9" s="1"/>
  <c r="AE109" i="9"/>
  <c r="AD109" i="9"/>
  <c r="AC109" i="9"/>
  <c r="V109" i="9"/>
  <c r="AB109" i="9" s="1"/>
  <c r="U109" i="9"/>
  <c r="AA109" i="9" s="1"/>
  <c r="T109" i="9"/>
  <c r="Z109" i="9" s="1"/>
  <c r="E109" i="9"/>
  <c r="F109" i="9" s="1"/>
  <c r="E108" i="9"/>
  <c r="F108" i="9" s="1"/>
  <c r="AE107" i="9"/>
  <c r="AD107" i="9"/>
  <c r="AC107" i="9"/>
  <c r="AH107" i="9" s="1"/>
  <c r="V107" i="9"/>
  <c r="AB107" i="9" s="1"/>
  <c r="U107" i="9"/>
  <c r="AA107" i="9" s="1"/>
  <c r="T107" i="9"/>
  <c r="Z107" i="9" s="1"/>
  <c r="AI107" i="9" s="1"/>
  <c r="E107" i="9"/>
  <c r="G107" i="9" s="1"/>
  <c r="I107" i="9" s="1"/>
  <c r="AE106" i="9"/>
  <c r="AD106" i="9"/>
  <c r="AC106" i="9"/>
  <c r="AH106" i="9" s="1"/>
  <c r="V106" i="9"/>
  <c r="AB106" i="9" s="1"/>
  <c r="U106" i="9"/>
  <c r="AA106" i="9" s="1"/>
  <c r="T106" i="9"/>
  <c r="Z106" i="9" s="1"/>
  <c r="E106" i="9"/>
  <c r="G106" i="9" s="1"/>
  <c r="I106" i="9" s="1"/>
  <c r="AE105" i="9"/>
  <c r="AD105" i="9"/>
  <c r="AC105" i="9"/>
  <c r="V105" i="9"/>
  <c r="AB105" i="9" s="1"/>
  <c r="U105" i="9"/>
  <c r="AA105" i="9" s="1"/>
  <c r="T105" i="9"/>
  <c r="Z105" i="9" s="1"/>
  <c r="AI105" i="9" s="1"/>
  <c r="E105" i="9"/>
  <c r="G105" i="9" s="1"/>
  <c r="I105" i="9" s="1"/>
  <c r="AE104" i="9"/>
  <c r="AD104" i="9"/>
  <c r="AC104" i="9"/>
  <c r="AH104" i="9" s="1"/>
  <c r="V104" i="9"/>
  <c r="AB104" i="9" s="1"/>
  <c r="U104" i="9"/>
  <c r="AA104" i="9" s="1"/>
  <c r="T104" i="9"/>
  <c r="Z104" i="9" s="1"/>
  <c r="AI104" i="9" s="1"/>
  <c r="E104" i="9"/>
  <c r="G104" i="9" s="1"/>
  <c r="I104" i="9" s="1"/>
  <c r="AE103" i="9"/>
  <c r="AD103" i="9"/>
  <c r="AC103" i="9"/>
  <c r="AH103" i="9" s="1"/>
  <c r="V103" i="9"/>
  <c r="AB103" i="9" s="1"/>
  <c r="U103" i="9"/>
  <c r="AA103" i="9" s="1"/>
  <c r="T103" i="9"/>
  <c r="Z103" i="9" s="1"/>
  <c r="AI103" i="9" s="1"/>
  <c r="E103" i="9"/>
  <c r="G103" i="9" s="1"/>
  <c r="I103" i="9" s="1"/>
  <c r="AE102" i="9"/>
  <c r="AD102" i="9"/>
  <c r="AC102" i="9"/>
  <c r="AH102" i="9" s="1"/>
  <c r="V102" i="9"/>
  <c r="AB102" i="9" s="1"/>
  <c r="U102" i="9"/>
  <c r="AA102" i="9" s="1"/>
  <c r="T102" i="9"/>
  <c r="Z102" i="9" s="1"/>
  <c r="E102" i="9"/>
  <c r="G102" i="9" s="1"/>
  <c r="I102" i="9" s="1"/>
  <c r="AD101" i="9"/>
  <c r="AC101" i="9"/>
  <c r="AH101" i="9" s="1"/>
  <c r="Y101" i="9"/>
  <c r="AE101" i="9" s="1"/>
  <c r="V101" i="9"/>
  <c r="AB101" i="9" s="1"/>
  <c r="U101" i="9"/>
  <c r="AA101" i="9" s="1"/>
  <c r="T101" i="9"/>
  <c r="Z101" i="9" s="1"/>
  <c r="AI101" i="9" s="1"/>
  <c r="E101" i="9"/>
  <c r="G101" i="9" s="1"/>
  <c r="I101" i="9" s="1"/>
  <c r="AD100" i="9"/>
  <c r="AC100" i="9"/>
  <c r="AH100" i="9" s="1"/>
  <c r="Y100" i="9"/>
  <c r="AE100" i="9" s="1"/>
  <c r="V100" i="9"/>
  <c r="AB100" i="9" s="1"/>
  <c r="U100" i="9"/>
  <c r="AA100" i="9" s="1"/>
  <c r="T100" i="9"/>
  <c r="Z100" i="9" s="1"/>
  <c r="AI100" i="9" s="1"/>
  <c r="E100" i="9"/>
  <c r="G100" i="9" s="1"/>
  <c r="I100" i="9" s="1"/>
  <c r="AD99" i="9"/>
  <c r="AC99" i="9"/>
  <c r="AH99" i="9" s="1"/>
  <c r="Y99" i="9"/>
  <c r="AE99" i="9" s="1"/>
  <c r="V99" i="9"/>
  <c r="AB99" i="9" s="1"/>
  <c r="U99" i="9"/>
  <c r="AA99" i="9" s="1"/>
  <c r="T99" i="9"/>
  <c r="Z99" i="9" s="1"/>
  <c r="AI99" i="9" s="1"/>
  <c r="G99" i="9"/>
  <c r="I99" i="9" s="1"/>
  <c r="R96" i="9"/>
  <c r="X96" i="9" s="1"/>
  <c r="Q96" i="9"/>
  <c r="W96" i="9" s="1"/>
  <c r="P96" i="9"/>
  <c r="V96" i="9" s="1"/>
  <c r="G96" i="9"/>
  <c r="I96" i="9" s="1"/>
  <c r="R95" i="9"/>
  <c r="X95" i="9" s="1"/>
  <c r="Q95" i="9"/>
  <c r="W95" i="9" s="1"/>
  <c r="P95" i="9"/>
  <c r="V95" i="9" s="1"/>
  <c r="F95" i="9"/>
  <c r="R94" i="9"/>
  <c r="X94" i="9" s="1"/>
  <c r="Q94" i="9"/>
  <c r="W94" i="9" s="1"/>
  <c r="P94" i="9"/>
  <c r="V94" i="9" s="1"/>
  <c r="F94" i="9"/>
  <c r="R93" i="9"/>
  <c r="X93" i="9" s="1"/>
  <c r="Q93" i="9"/>
  <c r="W93" i="9" s="1"/>
  <c r="P93" i="9"/>
  <c r="V93" i="9" s="1"/>
  <c r="G93" i="9"/>
  <c r="I93" i="9" s="1"/>
  <c r="R92" i="9"/>
  <c r="X92" i="9" s="1"/>
  <c r="Q92" i="9"/>
  <c r="W92" i="9" s="1"/>
  <c r="P92" i="9"/>
  <c r="V92" i="9" s="1"/>
  <c r="F92" i="9"/>
  <c r="X91" i="9"/>
  <c r="W91" i="9"/>
  <c r="V91" i="9"/>
  <c r="F91" i="9"/>
  <c r="X90" i="9"/>
  <c r="W90" i="9"/>
  <c r="V90" i="9"/>
  <c r="X89" i="9"/>
  <c r="W89" i="9"/>
  <c r="V89" i="9"/>
  <c r="G89" i="9"/>
  <c r="I89" i="9" s="1"/>
  <c r="X88" i="9"/>
  <c r="W88" i="9"/>
  <c r="V88" i="9"/>
  <c r="G88" i="9"/>
  <c r="I88" i="9" s="1"/>
  <c r="X87" i="9"/>
  <c r="W87" i="9"/>
  <c r="V87" i="9"/>
  <c r="F87" i="9"/>
  <c r="X86" i="9"/>
  <c r="W86" i="9"/>
  <c r="V86" i="9"/>
  <c r="F86" i="9"/>
  <c r="AA80" i="9"/>
  <c r="Z80" i="9"/>
  <c r="AH80" i="9" s="1"/>
  <c r="U80" i="9"/>
  <c r="Y80" i="9" s="1"/>
  <c r="T80" i="9"/>
  <c r="X80" i="9" s="1"/>
  <c r="AI80" i="9" s="1"/>
  <c r="E80" i="9"/>
  <c r="AA79" i="9"/>
  <c r="Z79" i="9"/>
  <c r="AH79" i="9" s="1"/>
  <c r="U79" i="9"/>
  <c r="Y79" i="9" s="1"/>
  <c r="T79" i="9"/>
  <c r="X79" i="9" s="1"/>
  <c r="AI79" i="9" s="1"/>
  <c r="E79" i="9"/>
  <c r="G79" i="9" s="1"/>
  <c r="I79" i="9" s="1"/>
  <c r="AA78" i="9"/>
  <c r="Z78" i="9"/>
  <c r="AH78" i="9" s="1"/>
  <c r="U78" i="9"/>
  <c r="Y78" i="9" s="1"/>
  <c r="T78" i="9"/>
  <c r="X78" i="9" s="1"/>
  <c r="AI78" i="9" s="1"/>
  <c r="E78" i="9"/>
  <c r="AA77" i="9"/>
  <c r="Z77" i="9"/>
  <c r="AH77" i="9" s="1"/>
  <c r="U77" i="9"/>
  <c r="Y77" i="9" s="1"/>
  <c r="T77" i="9"/>
  <c r="X77" i="9" s="1"/>
  <c r="AI77" i="9" s="1"/>
  <c r="E77" i="9"/>
  <c r="F77" i="9" s="1"/>
  <c r="R71" i="9"/>
  <c r="X71" i="9" s="1"/>
  <c r="Q71" i="9"/>
  <c r="W71" i="9" s="1"/>
  <c r="P71" i="9"/>
  <c r="V71" i="9" s="1"/>
  <c r="E71" i="9"/>
  <c r="G71" i="9" s="1"/>
  <c r="I71" i="9" s="1"/>
  <c r="R70" i="9"/>
  <c r="X70" i="9" s="1"/>
  <c r="Q70" i="9"/>
  <c r="W70" i="9" s="1"/>
  <c r="P70" i="9"/>
  <c r="V70" i="9" s="1"/>
  <c r="E70" i="9"/>
  <c r="F70" i="9" s="1"/>
  <c r="R69" i="9"/>
  <c r="X69" i="9" s="1"/>
  <c r="Q69" i="9"/>
  <c r="W69" i="9" s="1"/>
  <c r="P69" i="9"/>
  <c r="V69" i="9" s="1"/>
  <c r="E69" i="9"/>
  <c r="F69" i="9" s="1"/>
  <c r="R68" i="9"/>
  <c r="X68" i="9" s="1"/>
  <c r="Q68" i="9"/>
  <c r="W68" i="9" s="1"/>
  <c r="P68" i="9"/>
  <c r="V68" i="9" s="1"/>
  <c r="E68" i="9"/>
  <c r="R67" i="9"/>
  <c r="X67" i="9" s="1"/>
  <c r="Q67" i="9"/>
  <c r="W67" i="9" s="1"/>
  <c r="P67" i="9"/>
  <c r="V67" i="9" s="1"/>
  <c r="E67" i="9"/>
  <c r="G67" i="9" s="1"/>
  <c r="I67" i="9" s="1"/>
  <c r="R66" i="9"/>
  <c r="X66" i="9" s="1"/>
  <c r="Q66" i="9"/>
  <c r="W66" i="9" s="1"/>
  <c r="P66" i="9"/>
  <c r="V66" i="9" s="1"/>
  <c r="E66" i="9"/>
  <c r="G66" i="9" s="1"/>
  <c r="I66" i="9" s="1"/>
  <c r="R65" i="9"/>
  <c r="X65" i="9" s="1"/>
  <c r="Q65" i="9"/>
  <c r="W65" i="9" s="1"/>
  <c r="P65" i="9"/>
  <c r="V65" i="9" s="1"/>
  <c r="E65" i="9"/>
  <c r="G65" i="9" s="1"/>
  <c r="I65" i="9" s="1"/>
  <c r="R64" i="9"/>
  <c r="X64" i="9" s="1"/>
  <c r="Q64" i="9"/>
  <c r="W64" i="9" s="1"/>
  <c r="P64" i="9"/>
  <c r="V64" i="9" s="1"/>
  <c r="E64" i="9"/>
  <c r="F64" i="9" s="1"/>
  <c r="R63" i="9"/>
  <c r="X63" i="9" s="1"/>
  <c r="Q63" i="9"/>
  <c r="W63" i="9" s="1"/>
  <c r="P63" i="9"/>
  <c r="V63" i="9" s="1"/>
  <c r="E63" i="9"/>
  <c r="G63" i="9" s="1"/>
  <c r="I63" i="9" s="1"/>
  <c r="R62" i="9"/>
  <c r="X62" i="9" s="1"/>
  <c r="Q62" i="9"/>
  <c r="W62" i="9" s="1"/>
  <c r="P62" i="9"/>
  <c r="V62" i="9" s="1"/>
  <c r="E62" i="9"/>
  <c r="F62" i="9" s="1"/>
  <c r="R61" i="9"/>
  <c r="X61" i="9" s="1"/>
  <c r="Q61" i="9"/>
  <c r="W61" i="9" s="1"/>
  <c r="P61" i="9"/>
  <c r="V61" i="9" s="1"/>
  <c r="E61" i="9"/>
  <c r="F61" i="9" s="1"/>
  <c r="AA59" i="9"/>
  <c r="Z59" i="9"/>
  <c r="Y59" i="9"/>
  <c r="R59" i="9"/>
  <c r="X59" i="9" s="1"/>
  <c r="Q59" i="9"/>
  <c r="W59" i="9" s="1"/>
  <c r="P59" i="9"/>
  <c r="V59" i="9" s="1"/>
  <c r="E59" i="9"/>
  <c r="F59" i="9" s="1"/>
  <c r="AA58" i="9"/>
  <c r="Z58" i="9"/>
  <c r="Y58" i="9"/>
  <c r="R58" i="9"/>
  <c r="X58" i="9" s="1"/>
  <c r="Q58" i="9"/>
  <c r="W58" i="9" s="1"/>
  <c r="AI58" i="9" s="1"/>
  <c r="P58" i="9"/>
  <c r="V58" i="9" s="1"/>
  <c r="E58" i="9"/>
  <c r="F58" i="9" s="1"/>
  <c r="AA57" i="9"/>
  <c r="Z57" i="9"/>
  <c r="Y57" i="9"/>
  <c r="R57" i="9"/>
  <c r="X57" i="9" s="1"/>
  <c r="Q57" i="9"/>
  <c r="W57" i="9" s="1"/>
  <c r="P57" i="9"/>
  <c r="V57" i="9" s="1"/>
  <c r="E57" i="9"/>
  <c r="F57" i="9" s="1"/>
  <c r="AA56" i="9"/>
  <c r="Z56" i="9"/>
  <c r="Y56" i="9"/>
  <c r="R56" i="9"/>
  <c r="X56" i="9" s="1"/>
  <c r="Q56" i="9"/>
  <c r="W56" i="9" s="1"/>
  <c r="P56" i="9"/>
  <c r="V56" i="9" s="1"/>
  <c r="E56" i="9"/>
  <c r="G56" i="9" s="1"/>
  <c r="I56" i="9" s="1"/>
  <c r="AA55" i="9"/>
  <c r="Z55" i="9"/>
  <c r="AH55" i="9" s="1"/>
  <c r="Y55" i="9"/>
  <c r="R55" i="9"/>
  <c r="X55" i="9" s="1"/>
  <c r="Q55" i="9"/>
  <c r="W55" i="9" s="1"/>
  <c r="AI55" i="9" s="1"/>
  <c r="P55" i="9"/>
  <c r="V55" i="9" s="1"/>
  <c r="E55" i="9"/>
  <c r="F55" i="9" s="1"/>
  <c r="AA54" i="9"/>
  <c r="Z54" i="9"/>
  <c r="Y54" i="9"/>
  <c r="R54" i="9"/>
  <c r="X54" i="9" s="1"/>
  <c r="Q54" i="9"/>
  <c r="W54" i="9" s="1"/>
  <c r="P54" i="9"/>
  <c r="V54" i="9" s="1"/>
  <c r="E54" i="9"/>
  <c r="G54" i="9" s="1"/>
  <c r="I54" i="9" s="1"/>
  <c r="AA53" i="9"/>
  <c r="Z53" i="9"/>
  <c r="AH53" i="9" s="1"/>
  <c r="Y53" i="9"/>
  <c r="R53" i="9"/>
  <c r="X53" i="9" s="1"/>
  <c r="Q53" i="9"/>
  <c r="W53" i="9" s="1"/>
  <c r="P53" i="9"/>
  <c r="V53" i="9" s="1"/>
  <c r="E53" i="9"/>
  <c r="AA52" i="9"/>
  <c r="Z52" i="9"/>
  <c r="Y52" i="9"/>
  <c r="R52" i="9"/>
  <c r="X52" i="9" s="1"/>
  <c r="Q52" i="9"/>
  <c r="W52" i="9" s="1"/>
  <c r="AI52" i="9" s="1"/>
  <c r="P52" i="9"/>
  <c r="V52" i="9" s="1"/>
  <c r="E52" i="9"/>
  <c r="F52" i="9" s="1"/>
  <c r="AA51" i="9"/>
  <c r="Z51" i="9"/>
  <c r="Y51" i="9"/>
  <c r="R51" i="9"/>
  <c r="X51" i="9" s="1"/>
  <c r="Q51" i="9"/>
  <c r="W51" i="9" s="1"/>
  <c r="P51" i="9"/>
  <c r="V51" i="9" s="1"/>
  <c r="E51" i="9"/>
  <c r="G51" i="9" s="1"/>
  <c r="I51" i="9" s="1"/>
  <c r="AA50" i="9"/>
  <c r="Z50" i="9"/>
  <c r="Y50" i="9"/>
  <c r="R50" i="9"/>
  <c r="X50" i="9" s="1"/>
  <c r="Q50" i="9"/>
  <c r="W50" i="9" s="1"/>
  <c r="AI50" i="9" s="1"/>
  <c r="P50" i="9"/>
  <c r="V50" i="9" s="1"/>
  <c r="E50" i="9"/>
  <c r="F50" i="9" s="1"/>
  <c r="AA49" i="9"/>
  <c r="Z49" i="9"/>
  <c r="Y49" i="9"/>
  <c r="X49" i="9"/>
  <c r="W49" i="9"/>
  <c r="V49" i="9"/>
  <c r="U49" i="9"/>
  <c r="T49" i="9"/>
  <c r="S49" i="9"/>
  <c r="AA48" i="9"/>
  <c r="Z48" i="9"/>
  <c r="Y48" i="9"/>
  <c r="W48" i="9"/>
  <c r="R48" i="9"/>
  <c r="X48" i="9" s="1"/>
  <c r="P48" i="9"/>
  <c r="V48" i="9" s="1"/>
  <c r="E48" i="9"/>
  <c r="G48" i="9" s="1"/>
  <c r="I48" i="9" s="1"/>
  <c r="AA47" i="9"/>
  <c r="Z47" i="9"/>
  <c r="Y47" i="9"/>
  <c r="AH47" i="9" s="1"/>
  <c r="W47" i="9"/>
  <c r="R47" i="9"/>
  <c r="X47" i="9" s="1"/>
  <c r="P47" i="9"/>
  <c r="V47" i="9" s="1"/>
  <c r="AI47" i="9" s="1"/>
  <c r="E47" i="9"/>
  <c r="G47" i="9" s="1"/>
  <c r="I47" i="9" s="1"/>
  <c r="AA46" i="9"/>
  <c r="Z46" i="9"/>
  <c r="Y46" i="9"/>
  <c r="AH46" i="9" s="1"/>
  <c r="W46" i="9"/>
  <c r="R46" i="9"/>
  <c r="X46" i="9" s="1"/>
  <c r="P46" i="9"/>
  <c r="V46" i="9" s="1"/>
  <c r="E46" i="9"/>
  <c r="AA45" i="9"/>
  <c r="Z45" i="9"/>
  <c r="Y45" i="9"/>
  <c r="W45" i="9"/>
  <c r="R45" i="9"/>
  <c r="X45" i="9" s="1"/>
  <c r="P45" i="9"/>
  <c r="V45" i="9" s="1"/>
  <c r="AI45" i="9" s="1"/>
  <c r="E45" i="9"/>
  <c r="F45" i="9" s="1"/>
  <c r="AA44" i="9"/>
  <c r="Z44" i="9"/>
  <c r="Y44" i="9"/>
  <c r="W44" i="9"/>
  <c r="R44" i="9"/>
  <c r="X44" i="9" s="1"/>
  <c r="P44" i="9"/>
  <c r="V44" i="9" s="1"/>
  <c r="E44" i="9"/>
  <c r="F44" i="9" s="1"/>
  <c r="AA43" i="9"/>
  <c r="Z43" i="9"/>
  <c r="Y43" i="9"/>
  <c r="AH43" i="9" s="1"/>
  <c r="W43" i="9"/>
  <c r="R43" i="9"/>
  <c r="X43" i="9" s="1"/>
  <c r="P43" i="9"/>
  <c r="V43" i="9" s="1"/>
  <c r="AI43" i="9" s="1"/>
  <c r="E43" i="9"/>
  <c r="G43" i="9" s="1"/>
  <c r="I43" i="9" s="1"/>
  <c r="AA42" i="9"/>
  <c r="Z42" i="9"/>
  <c r="Y42" i="9"/>
  <c r="AH42" i="9" s="1"/>
  <c r="W42" i="9"/>
  <c r="R42" i="9"/>
  <c r="X42" i="9" s="1"/>
  <c r="P42" i="9"/>
  <c r="V42" i="9" s="1"/>
  <c r="E42" i="9"/>
  <c r="AA41" i="9"/>
  <c r="Z41" i="9"/>
  <c r="Y41" i="9"/>
  <c r="W41" i="9"/>
  <c r="R41" i="9"/>
  <c r="X41" i="9" s="1"/>
  <c r="P41" i="9"/>
  <c r="V41" i="9" s="1"/>
  <c r="AI41" i="9" s="1"/>
  <c r="E41" i="9"/>
  <c r="G41" i="9" s="1"/>
  <c r="I41" i="9" s="1"/>
  <c r="AA40" i="9"/>
  <c r="Z40" i="9"/>
  <c r="Y40" i="9"/>
  <c r="AH40" i="9" s="1"/>
  <c r="W40" i="9"/>
  <c r="R40" i="9"/>
  <c r="X40" i="9" s="1"/>
  <c r="P40" i="9"/>
  <c r="V40" i="9" s="1"/>
  <c r="E40" i="9"/>
  <c r="F40" i="9" s="1"/>
  <c r="AA39" i="9"/>
  <c r="Z39" i="9"/>
  <c r="Y39" i="9"/>
  <c r="AH39" i="9" s="1"/>
  <c r="R39" i="9"/>
  <c r="X39" i="9" s="1"/>
  <c r="Q39" i="9"/>
  <c r="W39" i="9" s="1"/>
  <c r="P39" i="9"/>
  <c r="V39" i="9" s="1"/>
  <c r="E39" i="9"/>
  <c r="F39" i="9" s="1"/>
  <c r="AA37" i="9"/>
  <c r="Z37" i="9"/>
  <c r="Y37" i="9"/>
  <c r="W37" i="9"/>
  <c r="R37" i="9"/>
  <c r="X37" i="9" s="1"/>
  <c r="P37" i="9"/>
  <c r="V37" i="9" s="1"/>
  <c r="E37" i="9"/>
  <c r="F37" i="9" s="1"/>
  <c r="AA36" i="9"/>
  <c r="Z36" i="9"/>
  <c r="Y36" i="9"/>
  <c r="W36" i="9"/>
  <c r="R36" i="9"/>
  <c r="X36" i="9" s="1"/>
  <c r="P36" i="9"/>
  <c r="V36" i="9" s="1"/>
  <c r="E36" i="9"/>
  <c r="G36" i="9" s="1"/>
  <c r="I36" i="9" s="1"/>
  <c r="AA35" i="9"/>
  <c r="Z35" i="9"/>
  <c r="Y35" i="9"/>
  <c r="W35" i="9"/>
  <c r="R35" i="9"/>
  <c r="X35" i="9" s="1"/>
  <c r="P35" i="9"/>
  <c r="V35" i="9" s="1"/>
  <c r="E35" i="9"/>
  <c r="G35" i="9" s="1"/>
  <c r="I35" i="9" s="1"/>
  <c r="AA34" i="9"/>
  <c r="Z34" i="9"/>
  <c r="Y34" i="9"/>
  <c r="W34" i="9"/>
  <c r="R34" i="9"/>
  <c r="X34" i="9" s="1"/>
  <c r="P34" i="9"/>
  <c r="V34" i="9" s="1"/>
  <c r="E34" i="9"/>
  <c r="G34" i="9" s="1"/>
  <c r="I34" i="9" s="1"/>
  <c r="AA33" i="9"/>
  <c r="Z33" i="9"/>
  <c r="Y33" i="9"/>
  <c r="W33" i="9"/>
  <c r="R33" i="9"/>
  <c r="X33" i="9" s="1"/>
  <c r="P33" i="9"/>
  <c r="V33" i="9" s="1"/>
  <c r="E33" i="9"/>
  <c r="F33" i="9" s="1"/>
  <c r="AA32" i="9"/>
  <c r="Z32" i="9"/>
  <c r="Y32" i="9"/>
  <c r="W32" i="9"/>
  <c r="R32" i="9"/>
  <c r="X32" i="9" s="1"/>
  <c r="P32" i="9"/>
  <c r="V32" i="9" s="1"/>
  <c r="E32" i="9"/>
  <c r="G32" i="9" s="1"/>
  <c r="I32" i="9" s="1"/>
  <c r="AA31" i="9"/>
  <c r="Z31" i="9"/>
  <c r="Y31" i="9"/>
  <c r="W31" i="9"/>
  <c r="R31" i="9"/>
  <c r="X31" i="9" s="1"/>
  <c r="P31" i="9"/>
  <c r="V31" i="9" s="1"/>
  <c r="E31" i="9"/>
  <c r="AA30" i="9"/>
  <c r="Z30" i="9"/>
  <c r="Y30" i="9"/>
  <c r="AH30" i="9" s="1"/>
  <c r="W30" i="9"/>
  <c r="R30" i="9"/>
  <c r="X30" i="9" s="1"/>
  <c r="P30" i="9"/>
  <c r="V30" i="9" s="1"/>
  <c r="AI30" i="9" s="1"/>
  <c r="E30" i="9"/>
  <c r="F30" i="9" s="1"/>
  <c r="AA29" i="9"/>
  <c r="Z29" i="9"/>
  <c r="Y29" i="9"/>
  <c r="AH29" i="9" s="1"/>
  <c r="R29" i="9"/>
  <c r="X29" i="9" s="1"/>
  <c r="Q29" i="9"/>
  <c r="W29" i="9" s="1"/>
  <c r="P29" i="9"/>
  <c r="V29" i="9" s="1"/>
  <c r="E29" i="9"/>
  <c r="F29" i="9" s="1"/>
  <c r="AA27" i="9"/>
  <c r="Z27" i="9"/>
  <c r="Y27" i="9"/>
  <c r="R27" i="9"/>
  <c r="X27" i="9" s="1"/>
  <c r="Q27" i="9"/>
  <c r="W27" i="9" s="1"/>
  <c r="P27" i="9"/>
  <c r="V27" i="9" s="1"/>
  <c r="E27" i="9"/>
  <c r="G27" i="9" s="1"/>
  <c r="I27" i="9" s="1"/>
  <c r="AA26" i="9"/>
  <c r="Z26" i="9"/>
  <c r="Y26" i="9"/>
  <c r="R26" i="9"/>
  <c r="X26" i="9" s="1"/>
  <c r="Q26" i="9"/>
  <c r="W26" i="9" s="1"/>
  <c r="P26" i="9"/>
  <c r="V26" i="9" s="1"/>
  <c r="E26" i="9"/>
  <c r="G26" i="9" s="1"/>
  <c r="I26" i="9" s="1"/>
  <c r="AA25" i="9"/>
  <c r="Z25" i="9"/>
  <c r="Y25" i="9"/>
  <c r="R25" i="9"/>
  <c r="X25" i="9" s="1"/>
  <c r="Q25" i="9"/>
  <c r="W25" i="9" s="1"/>
  <c r="P25" i="9"/>
  <c r="V25" i="9" s="1"/>
  <c r="E25" i="9"/>
  <c r="G25" i="9" s="1"/>
  <c r="I25" i="9" s="1"/>
  <c r="AA24" i="9"/>
  <c r="Z24" i="9"/>
  <c r="Y24" i="9"/>
  <c r="R24" i="9"/>
  <c r="X24" i="9" s="1"/>
  <c r="Q24" i="9"/>
  <c r="W24" i="9" s="1"/>
  <c r="P24" i="9"/>
  <c r="V24" i="9" s="1"/>
  <c r="E24" i="9"/>
  <c r="F24" i="9" s="1"/>
  <c r="AA23" i="9"/>
  <c r="Z23" i="9"/>
  <c r="Y23" i="9"/>
  <c r="R23" i="9"/>
  <c r="X23" i="9" s="1"/>
  <c r="Q23" i="9"/>
  <c r="W23" i="9" s="1"/>
  <c r="P23" i="9"/>
  <c r="V23" i="9" s="1"/>
  <c r="E23" i="9"/>
  <c r="G23" i="9" s="1"/>
  <c r="I23" i="9" s="1"/>
  <c r="AA22" i="9"/>
  <c r="Z22" i="9"/>
  <c r="Y22" i="9"/>
  <c r="R22" i="9"/>
  <c r="X22" i="9" s="1"/>
  <c r="Q22" i="9"/>
  <c r="W22" i="9" s="1"/>
  <c r="P22" i="9"/>
  <c r="V22" i="9" s="1"/>
  <c r="E22" i="9"/>
  <c r="G22" i="9" s="1"/>
  <c r="I22" i="9" s="1"/>
  <c r="AA21" i="9"/>
  <c r="Z21" i="9"/>
  <c r="Y21" i="9"/>
  <c r="R21" i="9"/>
  <c r="X21" i="9" s="1"/>
  <c r="Q21" i="9"/>
  <c r="W21" i="9" s="1"/>
  <c r="P21" i="9"/>
  <c r="V21" i="9" s="1"/>
  <c r="E21" i="9"/>
  <c r="G21" i="9" s="1"/>
  <c r="I21" i="9" s="1"/>
  <c r="AA20" i="9"/>
  <c r="Z20" i="9"/>
  <c r="Y20" i="9"/>
  <c r="R20" i="9"/>
  <c r="X20" i="9" s="1"/>
  <c r="Q20" i="9"/>
  <c r="W20" i="9" s="1"/>
  <c r="P20" i="9"/>
  <c r="V20" i="9" s="1"/>
  <c r="E20" i="9"/>
  <c r="F20" i="9" s="1"/>
  <c r="R18" i="9"/>
  <c r="X18" i="9" s="1"/>
  <c r="Q18" i="9"/>
  <c r="W18" i="9" s="1"/>
  <c r="P18" i="9"/>
  <c r="V18" i="9" s="1"/>
  <c r="E18" i="9"/>
  <c r="F18" i="9" s="1"/>
  <c r="R17" i="9"/>
  <c r="X17" i="9" s="1"/>
  <c r="Q17" i="9"/>
  <c r="W17" i="9" s="1"/>
  <c r="P17" i="9"/>
  <c r="V17" i="9" s="1"/>
  <c r="E17" i="9"/>
  <c r="G17" i="9" s="1"/>
  <c r="I17" i="9" s="1"/>
  <c r="R16" i="9"/>
  <c r="X16" i="9" s="1"/>
  <c r="Q16" i="9"/>
  <c r="W16" i="9" s="1"/>
  <c r="P16" i="9"/>
  <c r="V16" i="9" s="1"/>
  <c r="E16" i="9"/>
  <c r="AH44" i="9" l="1"/>
  <c r="AH48" i="9"/>
  <c r="AI40" i="9"/>
  <c r="AI44" i="9"/>
  <c r="AI48" i="9"/>
  <c r="AH50" i="9"/>
  <c r="AH58" i="9"/>
  <c r="AI39" i="9"/>
  <c r="AI29" i="9"/>
  <c r="AH41" i="9"/>
  <c r="AI42" i="9"/>
  <c r="AH45" i="9"/>
  <c r="AI46" i="9"/>
  <c r="AI102" i="9"/>
  <c r="AH105" i="9"/>
  <c r="AI106" i="9"/>
  <c r="AI51" i="9"/>
  <c r="AH54" i="9"/>
  <c r="AI59" i="9"/>
  <c r="AI111" i="9"/>
  <c r="AH114" i="9"/>
  <c r="AH52" i="9"/>
  <c r="AJ52" i="9" s="1"/>
  <c r="AI57" i="9"/>
  <c r="AI109" i="9"/>
  <c r="AH112" i="9"/>
  <c r="AJ112" i="9" s="1"/>
  <c r="AI117" i="9"/>
  <c r="AH51" i="9"/>
  <c r="AI56" i="9"/>
  <c r="AH59" i="9"/>
  <c r="AH111" i="9"/>
  <c r="AI116" i="9"/>
  <c r="AI54" i="9"/>
  <c r="AH57" i="9"/>
  <c r="AH109" i="9"/>
  <c r="AI114" i="9"/>
  <c r="AH117" i="9"/>
  <c r="AI53" i="9"/>
  <c r="AJ53" i="9" s="1"/>
  <c r="AH56" i="9"/>
  <c r="AI113" i="9"/>
  <c r="AJ113" i="9" s="1"/>
  <c r="AH116" i="9"/>
  <c r="AJ80" i="9"/>
  <c r="AJ39" i="9"/>
  <c r="G92" i="9"/>
  <c r="I92" i="9" s="1"/>
  <c r="AJ50" i="9"/>
  <c r="AJ115" i="9"/>
  <c r="G110" i="9"/>
  <c r="I110" i="9" s="1"/>
  <c r="AJ110" i="9"/>
  <c r="G20" i="9"/>
  <c r="I20" i="9" s="1"/>
  <c r="G30" i="9"/>
  <c r="I30" i="9" s="1"/>
  <c r="F107" i="9"/>
  <c r="G59" i="9"/>
  <c r="I59" i="9" s="1"/>
  <c r="G70" i="9"/>
  <c r="I70" i="9" s="1"/>
  <c r="F22" i="9"/>
  <c r="G40" i="9"/>
  <c r="I40" i="9" s="1"/>
  <c r="G45" i="9"/>
  <c r="I45" i="9" s="1"/>
  <c r="F51" i="9"/>
  <c r="G62" i="9"/>
  <c r="I62" i="9" s="1"/>
  <c r="F27" i="9"/>
  <c r="F34" i="9"/>
  <c r="AJ100" i="9"/>
  <c r="G18" i="9"/>
  <c r="I18" i="9" s="1"/>
  <c r="G58" i="9"/>
  <c r="I58" i="9" s="1"/>
  <c r="G77" i="9"/>
  <c r="I77" i="9" s="1"/>
  <c r="F88" i="9"/>
  <c r="G109" i="9"/>
  <c r="I109" i="9" s="1"/>
  <c r="G37" i="9"/>
  <c r="I37" i="9" s="1"/>
  <c r="F102" i="9"/>
  <c r="G116" i="9"/>
  <c r="I116" i="9" s="1"/>
  <c r="G29" i="9"/>
  <c r="I29" i="9" s="1"/>
  <c r="G39" i="9"/>
  <c r="I39" i="9" s="1"/>
  <c r="G52" i="9"/>
  <c r="I52" i="9" s="1"/>
  <c r="G55" i="9"/>
  <c r="I55" i="9" s="1"/>
  <c r="F71" i="9"/>
  <c r="AJ78" i="9"/>
  <c r="F17" i="9"/>
  <c r="G33" i="9"/>
  <c r="I33" i="9" s="1"/>
  <c r="G57" i="9"/>
  <c r="I57" i="9" s="1"/>
  <c r="G69" i="9"/>
  <c r="I69" i="9" s="1"/>
  <c r="G91" i="9"/>
  <c r="I91" i="9" s="1"/>
  <c r="G61" i="9"/>
  <c r="I61" i="9" s="1"/>
  <c r="G111" i="9"/>
  <c r="I111" i="9" s="1"/>
  <c r="F41" i="9"/>
  <c r="G87" i="9"/>
  <c r="I87" i="9" s="1"/>
  <c r="F104" i="9"/>
  <c r="G86" i="9"/>
  <c r="I86" i="9" s="1"/>
  <c r="G50" i="9"/>
  <c r="I50" i="9" s="1"/>
  <c r="AJ103" i="9"/>
  <c r="AJ47" i="9"/>
  <c r="AJ101" i="9"/>
  <c r="AJ79" i="9"/>
  <c r="AJ102" i="9"/>
  <c r="AJ99" i="9"/>
  <c r="AJ43" i="9"/>
  <c r="AJ45" i="9"/>
  <c r="AJ46" i="9"/>
  <c r="AJ58" i="9"/>
  <c r="AJ104" i="9"/>
  <c r="AJ105" i="9"/>
  <c r="AJ30" i="9"/>
  <c r="AJ107" i="9"/>
  <c r="AJ29" i="9"/>
  <c r="AJ48" i="9"/>
  <c r="AJ77" i="9"/>
  <c r="AJ41" i="9"/>
  <c r="AJ42" i="9"/>
  <c r="AJ55" i="9"/>
  <c r="F46" i="9"/>
  <c r="G46" i="9"/>
  <c r="I46" i="9" s="1"/>
  <c r="F89" i="9"/>
  <c r="F106" i="9"/>
  <c r="F114" i="9"/>
  <c r="G24" i="9"/>
  <c r="I24" i="9" s="1"/>
  <c r="G44" i="9"/>
  <c r="I44" i="9" s="1"/>
  <c r="AJ44" i="9"/>
  <c r="F48" i="9"/>
  <c r="F54" i="9"/>
  <c r="F103" i="9"/>
  <c r="AJ106" i="9"/>
  <c r="F25" i="9"/>
  <c r="F31" i="9"/>
  <c r="G31" i="9"/>
  <c r="I31" i="9" s="1"/>
  <c r="G113" i="9"/>
  <c r="I113" i="9" s="1"/>
  <c r="F113" i="9"/>
  <c r="F90" i="9"/>
  <c r="G90" i="9"/>
  <c r="I90" i="9" s="1"/>
  <c r="F21" i="9"/>
  <c r="F78" i="9"/>
  <c r="G78" i="9"/>
  <c r="I78" i="9" s="1"/>
  <c r="F16" i="9"/>
  <c r="G16" i="9"/>
  <c r="I16" i="9" s="1"/>
  <c r="F42" i="9"/>
  <c r="G42" i="9"/>
  <c r="I42" i="9" s="1"/>
  <c r="AJ40" i="9"/>
  <c r="F53" i="9"/>
  <c r="G53" i="9"/>
  <c r="I53" i="9" s="1"/>
  <c r="F32" i="9"/>
  <c r="F35" i="9"/>
  <c r="F65" i="9"/>
  <c r="F79" i="9"/>
  <c r="F105" i="9"/>
  <c r="F47" i="9"/>
  <c r="F56" i="9"/>
  <c r="F63" i="9"/>
  <c r="G64" i="9"/>
  <c r="I64" i="9" s="1"/>
  <c r="F66" i="9"/>
  <c r="F68" i="9"/>
  <c r="G68" i="9"/>
  <c r="I68" i="9" s="1"/>
  <c r="F80" i="9"/>
  <c r="G80" i="9"/>
  <c r="I80" i="9" s="1"/>
  <c r="F93" i="9"/>
  <c r="G94" i="9"/>
  <c r="I94" i="9" s="1"/>
  <c r="G95" i="9"/>
  <c r="I95" i="9" s="1"/>
  <c r="F96" i="9"/>
  <c r="F100" i="9"/>
  <c r="F115" i="9"/>
  <c r="F117" i="9"/>
  <c r="F43" i="9"/>
  <c r="F101" i="9"/>
  <c r="F23" i="9"/>
  <c r="F26" i="9"/>
  <c r="F36" i="9"/>
  <c r="F67" i="9"/>
  <c r="F99" i="9"/>
  <c r="G112" i="9"/>
  <c r="I112" i="9" s="1"/>
  <c r="T49" i="2"/>
  <c r="S49" i="2"/>
  <c r="R49" i="2"/>
  <c r="Z49" i="2"/>
  <c r="Y49" i="2"/>
  <c r="X49" i="2"/>
  <c r="V49" i="2"/>
  <c r="U49" i="2"/>
  <c r="W49" i="2"/>
  <c r="U118" i="2"/>
  <c r="AA118" i="2" s="1"/>
  <c r="U117" i="2"/>
  <c r="AA117" i="2" s="1"/>
  <c r="U116" i="2"/>
  <c r="AA116" i="2" s="1"/>
  <c r="U115" i="2"/>
  <c r="AA115" i="2" s="1"/>
  <c r="U114" i="2"/>
  <c r="AA114" i="2" s="1"/>
  <c r="U113" i="2"/>
  <c r="AA113" i="2" s="1"/>
  <c r="U112" i="2"/>
  <c r="AA112" i="2" s="1"/>
  <c r="U111" i="2"/>
  <c r="AA111" i="2" s="1"/>
  <c r="U110" i="2"/>
  <c r="AA110" i="2" s="1"/>
  <c r="U108" i="2"/>
  <c r="AA108" i="2" s="1"/>
  <c r="U107" i="2"/>
  <c r="AA107" i="2" s="1"/>
  <c r="U106" i="2"/>
  <c r="AA106" i="2" s="1"/>
  <c r="U105" i="2"/>
  <c r="AA105" i="2" s="1"/>
  <c r="U104" i="2"/>
  <c r="AA104" i="2" s="1"/>
  <c r="U103" i="2"/>
  <c r="AA103" i="2" s="1"/>
  <c r="U102" i="2"/>
  <c r="AA102" i="2" s="1"/>
  <c r="U101" i="2"/>
  <c r="AA101" i="2" s="1"/>
  <c r="U100" i="2"/>
  <c r="AA100" i="2" s="1"/>
  <c r="AJ116" i="9" l="1"/>
  <c r="AJ54" i="9"/>
  <c r="AJ109" i="9"/>
  <c r="AJ111" i="9"/>
  <c r="AJ51" i="9"/>
  <c r="AJ114" i="9"/>
  <c r="AJ117" i="9"/>
  <c r="AJ57" i="9"/>
  <c r="AJ59" i="9"/>
  <c r="AJ56" i="9"/>
  <c r="W88" i="2"/>
  <c r="W89" i="2"/>
  <c r="W90" i="2"/>
  <c r="W91" i="2"/>
  <c r="W92" i="2"/>
  <c r="Q93" i="2"/>
  <c r="W93" i="2" s="1"/>
  <c r="Q94" i="2"/>
  <c r="W94" i="2" s="1"/>
  <c r="Q95" i="2"/>
  <c r="W95" i="2" s="1"/>
  <c r="Q96" i="2"/>
  <c r="W96" i="2" s="1"/>
  <c r="Q97" i="2"/>
  <c r="W97" i="2" s="1"/>
  <c r="W87" i="2"/>
  <c r="V88" i="2"/>
  <c r="V89" i="2"/>
  <c r="V90" i="2"/>
  <c r="V91" i="2"/>
  <c r="V92" i="2"/>
  <c r="P93" i="2"/>
  <c r="V93" i="2" s="1"/>
  <c r="P94" i="2"/>
  <c r="V94" i="2" s="1"/>
  <c r="P95" i="2"/>
  <c r="V95" i="2" s="1"/>
  <c r="P96" i="2"/>
  <c r="V96" i="2" s="1"/>
  <c r="P97" i="2"/>
  <c r="V97" i="2" s="1"/>
  <c r="V87" i="2"/>
  <c r="U88" i="2"/>
  <c r="U89" i="2"/>
  <c r="U90" i="2"/>
  <c r="U91" i="2"/>
  <c r="U92" i="2"/>
  <c r="O93" i="2"/>
  <c r="U93" i="2" s="1"/>
  <c r="O94" i="2"/>
  <c r="U94" i="2" s="1"/>
  <c r="O95" i="2"/>
  <c r="U95" i="2" s="1"/>
  <c r="O96" i="2"/>
  <c r="U96" i="2" s="1"/>
  <c r="O97" i="2"/>
  <c r="U97" i="2" s="1"/>
  <c r="U87" i="2"/>
  <c r="Q71" i="2" l="1"/>
  <c r="Y71" i="2" s="1"/>
  <c r="Q72" i="2"/>
  <c r="Y72" i="2" s="1"/>
  <c r="P71" i="2"/>
  <c r="X71" i="2" s="1"/>
  <c r="P72" i="2"/>
  <c r="X72" i="2" s="1"/>
  <c r="Q30" i="2"/>
  <c r="Q31" i="2"/>
  <c r="Q32" i="2"/>
  <c r="Q33" i="2"/>
  <c r="Q34" i="2"/>
  <c r="Q35" i="2"/>
  <c r="Q36" i="2"/>
  <c r="Q37" i="2"/>
  <c r="Q29" i="2"/>
  <c r="Q51" i="2"/>
  <c r="Q52" i="2"/>
  <c r="Q53" i="2"/>
  <c r="Q54" i="2"/>
  <c r="Q55" i="2"/>
  <c r="Q56" i="2"/>
  <c r="Q57" i="2"/>
  <c r="Q58" i="2"/>
  <c r="Q59" i="2"/>
  <c r="P51" i="2"/>
  <c r="P52" i="2"/>
  <c r="P53" i="2"/>
  <c r="P54" i="2"/>
  <c r="P55" i="2"/>
  <c r="P56" i="2"/>
  <c r="P57" i="2"/>
  <c r="P58" i="2"/>
  <c r="P59" i="2"/>
  <c r="P50" i="2"/>
  <c r="P39" i="2"/>
  <c r="P29" i="2"/>
  <c r="O30" i="2"/>
  <c r="O31" i="2"/>
  <c r="O32" i="2"/>
  <c r="O33" i="2"/>
  <c r="O34" i="2"/>
  <c r="O35" i="2"/>
  <c r="O36" i="2"/>
  <c r="O37" i="2"/>
  <c r="O39" i="2"/>
  <c r="O29" i="2"/>
  <c r="Q21" i="2"/>
  <c r="Q22" i="2"/>
  <c r="Q23" i="2"/>
  <c r="Q24" i="2"/>
  <c r="Q25" i="2"/>
  <c r="Q26" i="2"/>
  <c r="Q27" i="2"/>
  <c r="Q20" i="2"/>
  <c r="W20" i="2" s="1"/>
  <c r="P21" i="2"/>
  <c r="P22" i="2"/>
  <c r="P23" i="2"/>
  <c r="V23" i="2" s="1"/>
  <c r="P24" i="2"/>
  <c r="P25" i="2"/>
  <c r="P26" i="2"/>
  <c r="P27" i="2"/>
  <c r="P20" i="2"/>
  <c r="O21" i="2"/>
  <c r="O22" i="2"/>
  <c r="O23" i="2"/>
  <c r="O24" i="2"/>
  <c r="O25" i="2"/>
  <c r="O26" i="2"/>
  <c r="O27" i="2"/>
  <c r="O20" i="2"/>
  <c r="Q50" i="2"/>
  <c r="Q17" i="2" l="1"/>
  <c r="W17" i="2" s="1"/>
  <c r="Q18" i="2"/>
  <c r="W18" i="2" s="1"/>
  <c r="Q16" i="2"/>
  <c r="W16" i="2" s="1"/>
  <c r="P17" i="2"/>
  <c r="V17" i="2" s="1"/>
  <c r="P18" i="2"/>
  <c r="V18" i="2" s="1"/>
  <c r="P16" i="2"/>
  <c r="V16" i="2" s="1"/>
  <c r="O17" i="2"/>
  <c r="U17" i="2" s="1"/>
  <c r="O18" i="2"/>
  <c r="U18" i="2" s="1"/>
  <c r="O16" i="2"/>
  <c r="U16" i="2" s="1"/>
  <c r="S78" i="2"/>
  <c r="W78" i="2" s="1"/>
  <c r="AH78" i="2" s="1"/>
  <c r="AD118" i="2" l="1"/>
  <c r="AC118" i="2"/>
  <c r="AB118" i="2"/>
  <c r="T118" i="2"/>
  <c r="Z118" i="2" s="1"/>
  <c r="S118" i="2"/>
  <c r="Y118" i="2" s="1"/>
  <c r="AD117" i="2"/>
  <c r="AC117" i="2"/>
  <c r="AB117" i="2"/>
  <c r="T117" i="2"/>
  <c r="Z117" i="2" s="1"/>
  <c r="AH117" i="2" s="1"/>
  <c r="S117" i="2"/>
  <c r="Y117" i="2" s="1"/>
  <c r="AD116" i="2"/>
  <c r="AC116" i="2"/>
  <c r="AB116" i="2"/>
  <c r="T116" i="2"/>
  <c r="Z116" i="2" s="1"/>
  <c r="S116" i="2"/>
  <c r="Y116" i="2" s="1"/>
  <c r="AD115" i="2"/>
  <c r="AC115" i="2"/>
  <c r="AB115" i="2"/>
  <c r="T115" i="2"/>
  <c r="Z115" i="2" s="1"/>
  <c r="S115" i="2"/>
  <c r="Y115" i="2" s="1"/>
  <c r="AD114" i="2"/>
  <c r="AC114" i="2"/>
  <c r="AB114" i="2"/>
  <c r="T114" i="2"/>
  <c r="Z114" i="2" s="1"/>
  <c r="AH114" i="2" s="1"/>
  <c r="S114" i="2"/>
  <c r="Y114" i="2" s="1"/>
  <c r="AD113" i="2"/>
  <c r="AC113" i="2"/>
  <c r="AB113" i="2"/>
  <c r="T113" i="2"/>
  <c r="Z113" i="2" s="1"/>
  <c r="S113" i="2"/>
  <c r="Y113" i="2" s="1"/>
  <c r="AC112" i="2"/>
  <c r="AB112" i="2"/>
  <c r="AD112" i="2"/>
  <c r="T112" i="2"/>
  <c r="Z112" i="2" s="1"/>
  <c r="S112" i="2"/>
  <c r="Y112" i="2" s="1"/>
  <c r="AC111" i="2"/>
  <c r="AB111" i="2"/>
  <c r="AD111" i="2"/>
  <c r="T111" i="2"/>
  <c r="Z111" i="2" s="1"/>
  <c r="S111" i="2"/>
  <c r="Y111" i="2" s="1"/>
  <c r="AC110" i="2"/>
  <c r="AB110" i="2"/>
  <c r="AD110" i="2"/>
  <c r="T110" i="2"/>
  <c r="Z110" i="2" s="1"/>
  <c r="S110" i="2"/>
  <c r="Y110" i="2" s="1"/>
  <c r="AB103" i="2"/>
  <c r="AC103" i="2"/>
  <c r="AD103" i="2"/>
  <c r="AB104" i="2"/>
  <c r="AC104" i="2"/>
  <c r="AD104" i="2"/>
  <c r="AB105" i="2"/>
  <c r="AC105" i="2"/>
  <c r="AD105" i="2"/>
  <c r="AB106" i="2"/>
  <c r="AC106" i="2"/>
  <c r="AD106" i="2"/>
  <c r="AB107" i="2"/>
  <c r="AC107" i="2"/>
  <c r="AD107" i="2"/>
  <c r="AB108" i="2"/>
  <c r="AC108" i="2"/>
  <c r="AD108" i="2"/>
  <c r="AB101" i="2"/>
  <c r="AG101" i="2" s="1"/>
  <c r="AC101" i="2"/>
  <c r="AB102" i="2"/>
  <c r="AC102" i="2"/>
  <c r="AB100" i="2"/>
  <c r="AC100" i="2"/>
  <c r="T103" i="2"/>
  <c r="Z103" i="2" s="1"/>
  <c r="T104" i="2"/>
  <c r="Z104" i="2" s="1"/>
  <c r="T105" i="2"/>
  <c r="Z105" i="2" s="1"/>
  <c r="T106" i="2"/>
  <c r="Z106" i="2" s="1"/>
  <c r="T107" i="2"/>
  <c r="Z107" i="2" s="1"/>
  <c r="T108" i="2"/>
  <c r="Z108" i="2" s="1"/>
  <c r="S103" i="2"/>
  <c r="Y103" i="2" s="1"/>
  <c r="S104" i="2"/>
  <c r="Y104" i="2" s="1"/>
  <c r="S105" i="2"/>
  <c r="Y105" i="2" s="1"/>
  <c r="S106" i="2"/>
  <c r="Y106" i="2" s="1"/>
  <c r="S107" i="2"/>
  <c r="Y107" i="2" s="1"/>
  <c r="S108" i="2"/>
  <c r="Y108" i="2" s="1"/>
  <c r="T102" i="2"/>
  <c r="Z102" i="2" s="1"/>
  <c r="T101" i="2"/>
  <c r="Z101" i="2" s="1"/>
  <c r="T100" i="2"/>
  <c r="Z100" i="2" s="1"/>
  <c r="S101" i="2"/>
  <c r="Y101" i="2" s="1"/>
  <c r="S102" i="2"/>
  <c r="Y102" i="2" s="1"/>
  <c r="S100" i="2"/>
  <c r="Y100" i="2" s="1"/>
  <c r="X102" i="2"/>
  <c r="AD102" i="2" s="1"/>
  <c r="X101" i="2"/>
  <c r="AD101" i="2" s="1"/>
  <c r="X100" i="2"/>
  <c r="AD100" i="2" s="1"/>
  <c r="Y79" i="2"/>
  <c r="AG79" i="2" s="1"/>
  <c r="Z79" i="2"/>
  <c r="Y80" i="2"/>
  <c r="AG80" i="2" s="1"/>
  <c r="Z80" i="2"/>
  <c r="Y78" i="2"/>
  <c r="AG78" i="2" s="1"/>
  <c r="AI78" i="2" s="1"/>
  <c r="Z78" i="2"/>
  <c r="Y81" i="2"/>
  <c r="AG81" i="2" s="1"/>
  <c r="Z81" i="2"/>
  <c r="E118" i="2"/>
  <c r="E117" i="2"/>
  <c r="E116" i="2"/>
  <c r="E115" i="2"/>
  <c r="E114" i="2"/>
  <c r="E113" i="2"/>
  <c r="E112" i="2"/>
  <c r="E111" i="2"/>
  <c r="H110" i="2"/>
  <c r="G110" i="2" s="1"/>
  <c r="E109" i="2"/>
  <c r="F109" i="2" s="1"/>
  <c r="E108" i="2"/>
  <c r="E107" i="2"/>
  <c r="E106" i="2"/>
  <c r="E105" i="2"/>
  <c r="E104" i="2"/>
  <c r="E103" i="2"/>
  <c r="E102" i="2"/>
  <c r="E101" i="2"/>
  <c r="E100" i="2"/>
  <c r="H97" i="2"/>
  <c r="G97" i="2" s="1"/>
  <c r="H96" i="2"/>
  <c r="G96" i="2" s="1"/>
  <c r="F95" i="2"/>
  <c r="H94" i="2"/>
  <c r="G94" i="2" s="1"/>
  <c r="H93" i="2"/>
  <c r="G93" i="2" s="1"/>
  <c r="F92" i="2"/>
  <c r="H91" i="2"/>
  <c r="G91" i="2" s="1"/>
  <c r="F90" i="2"/>
  <c r="H89" i="2"/>
  <c r="G89" i="2" s="1"/>
  <c r="F88" i="2"/>
  <c r="F87" i="2"/>
  <c r="T81" i="2"/>
  <c r="X81" i="2" s="1"/>
  <c r="S81" i="2"/>
  <c r="W81" i="2" s="1"/>
  <c r="AH81" i="2" s="1"/>
  <c r="E81" i="2"/>
  <c r="T80" i="2"/>
  <c r="X80" i="2" s="1"/>
  <c r="S80" i="2"/>
  <c r="W80" i="2" s="1"/>
  <c r="AH80" i="2" s="1"/>
  <c r="E80" i="2"/>
  <c r="T79" i="2"/>
  <c r="X79" i="2" s="1"/>
  <c r="S79" i="2"/>
  <c r="W79" i="2" s="1"/>
  <c r="AH79" i="2" s="1"/>
  <c r="E79" i="2"/>
  <c r="T78" i="2"/>
  <c r="X78" i="2" s="1"/>
  <c r="E78" i="2"/>
  <c r="E72" i="2"/>
  <c r="E71" i="2"/>
  <c r="E70" i="2"/>
  <c r="E69" i="2"/>
  <c r="E68" i="2"/>
  <c r="E67" i="2"/>
  <c r="E66" i="2"/>
  <c r="E65" i="2"/>
  <c r="E64" i="2"/>
  <c r="E63" i="2"/>
  <c r="E62" i="2"/>
  <c r="Z59" i="2"/>
  <c r="Y59" i="2"/>
  <c r="X59" i="2"/>
  <c r="W59" i="2"/>
  <c r="V59" i="2"/>
  <c r="U59" i="2"/>
  <c r="E59" i="2"/>
  <c r="Z58" i="2"/>
  <c r="Y58" i="2"/>
  <c r="X58" i="2"/>
  <c r="W58" i="2"/>
  <c r="V58" i="2"/>
  <c r="U58" i="2"/>
  <c r="E58" i="2"/>
  <c r="Z57" i="2"/>
  <c r="Y57" i="2"/>
  <c r="X57" i="2"/>
  <c r="W57" i="2"/>
  <c r="V57" i="2"/>
  <c r="U57" i="2"/>
  <c r="E57" i="2"/>
  <c r="Z56" i="2"/>
  <c r="Y56" i="2"/>
  <c r="X56" i="2"/>
  <c r="W56" i="2"/>
  <c r="V56" i="2"/>
  <c r="U56" i="2"/>
  <c r="E56" i="2"/>
  <c r="Z55" i="2"/>
  <c r="Y55" i="2"/>
  <c r="X55" i="2"/>
  <c r="W55" i="2"/>
  <c r="V55" i="2"/>
  <c r="U55" i="2"/>
  <c r="E55" i="2"/>
  <c r="Z54" i="2"/>
  <c r="Y54" i="2"/>
  <c r="X54" i="2"/>
  <c r="W54" i="2"/>
  <c r="V54" i="2"/>
  <c r="U54" i="2"/>
  <c r="E54" i="2"/>
  <c r="Z53" i="2"/>
  <c r="Y53" i="2"/>
  <c r="X53" i="2"/>
  <c r="W53" i="2"/>
  <c r="V53" i="2"/>
  <c r="U53" i="2"/>
  <c r="E53" i="2"/>
  <c r="Z52" i="2"/>
  <c r="Y52" i="2"/>
  <c r="X52" i="2"/>
  <c r="W52" i="2"/>
  <c r="V52" i="2"/>
  <c r="U52" i="2"/>
  <c r="E52" i="2"/>
  <c r="Z51" i="2"/>
  <c r="Y51" i="2"/>
  <c r="X51" i="2"/>
  <c r="W51" i="2"/>
  <c r="V51" i="2"/>
  <c r="U51" i="2"/>
  <c r="E51" i="2"/>
  <c r="Z50" i="2"/>
  <c r="Y50" i="2"/>
  <c r="X50" i="2"/>
  <c r="W50" i="2"/>
  <c r="V50" i="2"/>
  <c r="U50" i="2"/>
  <c r="E50" i="2"/>
  <c r="Y48" i="2"/>
  <c r="X48" i="2"/>
  <c r="AG48" i="2" s="1"/>
  <c r="W48" i="2"/>
  <c r="V48" i="2"/>
  <c r="U48" i="2"/>
  <c r="AH48" i="2" s="1"/>
  <c r="E48" i="2"/>
  <c r="Y47" i="2"/>
  <c r="X47" i="2"/>
  <c r="AG47" i="2" s="1"/>
  <c r="W47" i="2"/>
  <c r="V47" i="2"/>
  <c r="U47" i="2"/>
  <c r="AH47" i="2" s="1"/>
  <c r="E47" i="2"/>
  <c r="Y46" i="2"/>
  <c r="X46" i="2"/>
  <c r="AG46" i="2" s="1"/>
  <c r="W46" i="2"/>
  <c r="V46" i="2"/>
  <c r="U46" i="2"/>
  <c r="AH46" i="2" s="1"/>
  <c r="E46" i="2"/>
  <c r="Y45" i="2"/>
  <c r="X45" i="2"/>
  <c r="AG45" i="2" s="1"/>
  <c r="W45" i="2"/>
  <c r="V45" i="2"/>
  <c r="U45" i="2"/>
  <c r="AH45" i="2" s="1"/>
  <c r="E45" i="2"/>
  <c r="Y44" i="2"/>
  <c r="X44" i="2"/>
  <c r="AG44" i="2" s="1"/>
  <c r="W44" i="2"/>
  <c r="V44" i="2"/>
  <c r="U44" i="2"/>
  <c r="AH44" i="2" s="1"/>
  <c r="E44" i="2"/>
  <c r="Y43" i="2"/>
  <c r="X43" i="2"/>
  <c r="AG43" i="2" s="1"/>
  <c r="W43" i="2"/>
  <c r="V43" i="2"/>
  <c r="U43" i="2"/>
  <c r="AH43" i="2" s="1"/>
  <c r="E43" i="2"/>
  <c r="Y42" i="2"/>
  <c r="X42" i="2"/>
  <c r="AG42" i="2" s="1"/>
  <c r="W42" i="2"/>
  <c r="V42" i="2"/>
  <c r="U42" i="2"/>
  <c r="AH42" i="2" s="1"/>
  <c r="E42" i="2"/>
  <c r="Y41" i="2"/>
  <c r="X41" i="2"/>
  <c r="AG41" i="2" s="1"/>
  <c r="W41" i="2"/>
  <c r="V41" i="2"/>
  <c r="U41" i="2"/>
  <c r="AH41" i="2" s="1"/>
  <c r="E41" i="2"/>
  <c r="Y40" i="2"/>
  <c r="X40" i="2"/>
  <c r="AG40" i="2" s="1"/>
  <c r="W40" i="2"/>
  <c r="V40" i="2"/>
  <c r="U40" i="2"/>
  <c r="AH40" i="2" s="1"/>
  <c r="E40" i="2"/>
  <c r="Y39" i="2"/>
  <c r="X39" i="2"/>
  <c r="AG39" i="2" s="1"/>
  <c r="W39" i="2"/>
  <c r="V39" i="2"/>
  <c r="U39" i="2"/>
  <c r="AH39" i="2" s="1"/>
  <c r="E39" i="2"/>
  <c r="Z37" i="2"/>
  <c r="Y37" i="2"/>
  <c r="X37" i="2"/>
  <c r="W37" i="2"/>
  <c r="V37" i="2"/>
  <c r="AH37" i="2" s="1"/>
  <c r="U37" i="2"/>
  <c r="E37" i="2"/>
  <c r="F37" i="2" s="1"/>
  <c r="Z36" i="2"/>
  <c r="Y36" i="2"/>
  <c r="X36" i="2"/>
  <c r="W36" i="2"/>
  <c r="V36" i="2"/>
  <c r="U36" i="2"/>
  <c r="E36" i="2"/>
  <c r="F36" i="2" s="1"/>
  <c r="Z35" i="2"/>
  <c r="Y35" i="2"/>
  <c r="X35" i="2"/>
  <c r="W35" i="2"/>
  <c r="V35" i="2"/>
  <c r="U35" i="2"/>
  <c r="E35" i="2"/>
  <c r="H35" i="2" s="1"/>
  <c r="G35" i="2" s="1"/>
  <c r="Z34" i="2"/>
  <c r="Y34" i="2"/>
  <c r="X34" i="2"/>
  <c r="W34" i="2"/>
  <c r="V34" i="2"/>
  <c r="AH34" i="2" s="1"/>
  <c r="U34" i="2"/>
  <c r="E34" i="2"/>
  <c r="H34" i="2" s="1"/>
  <c r="G34" i="2" s="1"/>
  <c r="Z33" i="2"/>
  <c r="Y33" i="2"/>
  <c r="X33" i="2"/>
  <c r="W33" i="2"/>
  <c r="V33" i="2"/>
  <c r="U33" i="2"/>
  <c r="E33" i="2"/>
  <c r="H33" i="2" s="1"/>
  <c r="G33" i="2" s="1"/>
  <c r="Z32" i="2"/>
  <c r="Y32" i="2"/>
  <c r="X32" i="2"/>
  <c r="W32" i="2"/>
  <c r="V32" i="2"/>
  <c r="AH32" i="2" s="1"/>
  <c r="U32" i="2"/>
  <c r="E32" i="2"/>
  <c r="H32" i="2" s="1"/>
  <c r="G32" i="2" s="1"/>
  <c r="Z31" i="2"/>
  <c r="Y31" i="2"/>
  <c r="X31" i="2"/>
  <c r="W31" i="2"/>
  <c r="V31" i="2"/>
  <c r="AH31" i="2" s="1"/>
  <c r="U31" i="2"/>
  <c r="E31" i="2"/>
  <c r="F31" i="2" s="1"/>
  <c r="Z30" i="2"/>
  <c r="Y30" i="2"/>
  <c r="X30" i="2"/>
  <c r="W30" i="2"/>
  <c r="V30" i="2"/>
  <c r="U30" i="2"/>
  <c r="E30" i="2"/>
  <c r="F30" i="2" s="1"/>
  <c r="Z29" i="2"/>
  <c r="Y29" i="2"/>
  <c r="X29" i="2"/>
  <c r="W29" i="2"/>
  <c r="V29" i="2"/>
  <c r="AH29" i="2" s="1"/>
  <c r="U29" i="2"/>
  <c r="E29" i="2"/>
  <c r="F29" i="2" s="1"/>
  <c r="Y27" i="2"/>
  <c r="AG27" i="2" s="1"/>
  <c r="X27" i="2"/>
  <c r="W27" i="2"/>
  <c r="V27" i="2"/>
  <c r="U27" i="2"/>
  <c r="E27" i="2"/>
  <c r="F27" i="2" s="1"/>
  <c r="Y26" i="2"/>
  <c r="X26" i="2"/>
  <c r="W26" i="2"/>
  <c r="V26" i="2"/>
  <c r="U26" i="2"/>
  <c r="E26" i="2"/>
  <c r="H26" i="2" s="1"/>
  <c r="G26" i="2" s="1"/>
  <c r="Y25" i="2"/>
  <c r="X25" i="2"/>
  <c r="W25" i="2"/>
  <c r="V25" i="2"/>
  <c r="U25" i="2"/>
  <c r="E25" i="2"/>
  <c r="F25" i="2" s="1"/>
  <c r="Y24" i="2"/>
  <c r="AG24" i="2" s="1"/>
  <c r="X24" i="2"/>
  <c r="W24" i="2"/>
  <c r="AH24" i="2" s="1"/>
  <c r="V24" i="2"/>
  <c r="U24" i="2"/>
  <c r="E24" i="2"/>
  <c r="F24" i="2" s="1"/>
  <c r="Y23" i="2"/>
  <c r="AG23" i="2" s="1"/>
  <c r="X23" i="2"/>
  <c r="W23" i="2"/>
  <c r="AH23" i="2" s="1"/>
  <c r="U23" i="2"/>
  <c r="E23" i="2"/>
  <c r="H23" i="2" s="1"/>
  <c r="G23" i="2" s="1"/>
  <c r="Z22" i="2"/>
  <c r="Y22" i="2"/>
  <c r="X22" i="2"/>
  <c r="W22" i="2"/>
  <c r="V22" i="2"/>
  <c r="U22" i="2"/>
  <c r="E22" i="2"/>
  <c r="F22" i="2" s="1"/>
  <c r="Y21" i="2"/>
  <c r="X21" i="2"/>
  <c r="W21" i="2"/>
  <c r="V21" i="2"/>
  <c r="U21" i="2"/>
  <c r="E21" i="2"/>
  <c r="F21" i="2" s="1"/>
  <c r="Z20" i="2"/>
  <c r="Y20" i="2"/>
  <c r="X20" i="2"/>
  <c r="V20" i="2"/>
  <c r="U20" i="2"/>
  <c r="AH20" i="2" s="1"/>
  <c r="E20" i="2"/>
  <c r="H20" i="2" s="1"/>
  <c r="G20" i="2" s="1"/>
  <c r="E18" i="2"/>
  <c r="F18" i="2" s="1"/>
  <c r="E17" i="2"/>
  <c r="F17" i="2" s="1"/>
  <c r="E16" i="2"/>
  <c r="F16" i="2" s="1"/>
  <c r="F39" i="2" l="1"/>
  <c r="H50" i="2"/>
  <c r="G50" i="2" s="1"/>
  <c r="H58" i="2"/>
  <c r="G58" i="2" s="1"/>
  <c r="H64" i="2"/>
  <c r="G64" i="2" s="1"/>
  <c r="H101" i="2"/>
  <c r="G101" i="2" s="1"/>
  <c r="F113" i="2"/>
  <c r="H53" i="2"/>
  <c r="G53" i="2" s="1"/>
  <c r="H57" i="2"/>
  <c r="G57" i="2" s="1"/>
  <c r="H65" i="2"/>
  <c r="G65" i="2" s="1"/>
  <c r="F69" i="2"/>
  <c r="H78" i="2"/>
  <c r="G78" i="2" s="1"/>
  <c r="F81" i="2"/>
  <c r="F102" i="2"/>
  <c r="F106" i="2"/>
  <c r="H114" i="2"/>
  <c r="G114" i="2" s="1"/>
  <c r="H118" i="2"/>
  <c r="G118" i="2" s="1"/>
  <c r="H41" i="2"/>
  <c r="G41" i="2" s="1"/>
  <c r="F45" i="2"/>
  <c r="H54" i="2"/>
  <c r="G54" i="2" s="1"/>
  <c r="F72" i="2"/>
  <c r="F105" i="2"/>
  <c r="H117" i="2"/>
  <c r="G117" i="2" s="1"/>
  <c r="H40" i="2"/>
  <c r="G40" i="2" s="1"/>
  <c r="H42" i="2"/>
  <c r="G42" i="2" s="1"/>
  <c r="H44" i="2"/>
  <c r="G44" i="2" s="1"/>
  <c r="H46" i="2"/>
  <c r="G46" i="2" s="1"/>
  <c r="H48" i="2"/>
  <c r="G48" i="2" s="1"/>
  <c r="H52" i="2"/>
  <c r="G52" i="2" s="1"/>
  <c r="F56" i="2"/>
  <c r="F62" i="2"/>
  <c r="F66" i="2"/>
  <c r="H70" i="2"/>
  <c r="G70" i="2" s="1"/>
  <c r="H80" i="2"/>
  <c r="G80" i="2" s="1"/>
  <c r="H103" i="2"/>
  <c r="G103" i="2" s="1"/>
  <c r="H107" i="2"/>
  <c r="G107" i="2" s="1"/>
  <c r="H111" i="2"/>
  <c r="G111" i="2" s="1"/>
  <c r="H115" i="2"/>
  <c r="G115" i="2" s="1"/>
  <c r="F43" i="2"/>
  <c r="F47" i="2"/>
  <c r="H68" i="2"/>
  <c r="G68" i="2" s="1"/>
  <c r="H51" i="2"/>
  <c r="G51" i="2" s="1"/>
  <c r="H55" i="2"/>
  <c r="G55" i="2" s="1"/>
  <c r="H59" i="2"/>
  <c r="G59" i="2" s="1"/>
  <c r="H63" i="2"/>
  <c r="G63" i="2" s="1"/>
  <c r="H67" i="2"/>
  <c r="G67" i="2" s="1"/>
  <c r="H71" i="2"/>
  <c r="G71" i="2" s="1"/>
  <c r="H79" i="2"/>
  <c r="G79" i="2" s="1"/>
  <c r="H100" i="2"/>
  <c r="G100" i="2" s="1"/>
  <c r="F104" i="2"/>
  <c r="F108" i="2"/>
  <c r="H112" i="2"/>
  <c r="G112" i="2" s="1"/>
  <c r="F116" i="2"/>
  <c r="AG58" i="2"/>
  <c r="AG50" i="2"/>
  <c r="AH55" i="2"/>
  <c r="AH53" i="2"/>
  <c r="AG56" i="2"/>
  <c r="AH106" i="2"/>
  <c r="AI44" i="2"/>
  <c r="AH102" i="2"/>
  <c r="AH105" i="2"/>
  <c r="AH50" i="2"/>
  <c r="AG53" i="2"/>
  <c r="AH58" i="2"/>
  <c r="AH21" i="2"/>
  <c r="AG22" i="2"/>
  <c r="AH25" i="2"/>
  <c r="AG26" i="2"/>
  <c r="AH30" i="2"/>
  <c r="AH54" i="2"/>
  <c r="AG57" i="2"/>
  <c r="AG20" i="2"/>
  <c r="AI20" i="2" s="1"/>
  <c r="AH35" i="2"/>
  <c r="AH51" i="2"/>
  <c r="AG54" i="2"/>
  <c r="AH59" i="2"/>
  <c r="AH110" i="2"/>
  <c r="AH118" i="2"/>
  <c r="AG21" i="2"/>
  <c r="AG25" i="2"/>
  <c r="AH33" i="2"/>
  <c r="AH36" i="2"/>
  <c r="AH27" i="2"/>
  <c r="AI27" i="2" s="1"/>
  <c r="AH22" i="2"/>
  <c r="AH26" i="2"/>
  <c r="AG34" i="2"/>
  <c r="AI34" i="2" s="1"/>
  <c r="AD34" i="2"/>
  <c r="AG33" i="2"/>
  <c r="AD33" i="2"/>
  <c r="AG32" i="2"/>
  <c r="AI32" i="2" s="1"/>
  <c r="AD32" i="2"/>
  <c r="AD31" i="2"/>
  <c r="AG31" i="2"/>
  <c r="AI31" i="2" s="1"/>
  <c r="AG105" i="2"/>
  <c r="AG111" i="2"/>
  <c r="AG116" i="2"/>
  <c r="AG35" i="2"/>
  <c r="AD35" i="2"/>
  <c r="AI24" i="2"/>
  <c r="AG30" i="2"/>
  <c r="AD30" i="2"/>
  <c r="AG29" i="2"/>
  <c r="AI29" i="2" s="1"/>
  <c r="AD29" i="2"/>
  <c r="AG37" i="2"/>
  <c r="AI37" i="2" s="1"/>
  <c r="AD37" i="2"/>
  <c r="AI23" i="2"/>
  <c r="AG36" i="2"/>
  <c r="AD36" i="2"/>
  <c r="AG104" i="2"/>
  <c r="AG110" i="2"/>
  <c r="AG115" i="2"/>
  <c r="AH100" i="2"/>
  <c r="AG100" i="2"/>
  <c r="AG106" i="2"/>
  <c r="AI106" i="2" s="1"/>
  <c r="AG112" i="2"/>
  <c r="AH101" i="2"/>
  <c r="AI101" i="2" s="1"/>
  <c r="AH104" i="2"/>
  <c r="AG103" i="2"/>
  <c r="AG114" i="2"/>
  <c r="AI114" i="2" s="1"/>
  <c r="AH116" i="2"/>
  <c r="AH52" i="2"/>
  <c r="AG55" i="2"/>
  <c r="AH103" i="2"/>
  <c r="AG108" i="2"/>
  <c r="AH113" i="2"/>
  <c r="AH111" i="2"/>
  <c r="AG113" i="2"/>
  <c r="AH115" i="2"/>
  <c r="AI39" i="2"/>
  <c r="AG117" i="2"/>
  <c r="AI117" i="2" s="1"/>
  <c r="AG52" i="2"/>
  <c r="AH57" i="2"/>
  <c r="AH108" i="2"/>
  <c r="AG102" i="2"/>
  <c r="AG107" i="2"/>
  <c r="AH112" i="2"/>
  <c r="AG118" i="2"/>
  <c r="AG51" i="2"/>
  <c r="AI51" i="2" s="1"/>
  <c r="AH56" i="2"/>
  <c r="AG59" i="2"/>
  <c r="AH107" i="2"/>
  <c r="AI46" i="2"/>
  <c r="AI42" i="2"/>
  <c r="AI43" i="2"/>
  <c r="AI45" i="2"/>
  <c r="AI41" i="2"/>
  <c r="AI48" i="2"/>
  <c r="AI47" i="2"/>
  <c r="AI80" i="2"/>
  <c r="AI79" i="2"/>
  <c r="AI81" i="2"/>
  <c r="H17" i="2"/>
  <c r="G17" i="2" s="1"/>
  <c r="H29" i="2"/>
  <c r="G29" i="2" s="1"/>
  <c r="H72" i="2"/>
  <c r="G72" i="2" s="1"/>
  <c r="F57" i="2"/>
  <c r="F55" i="2"/>
  <c r="F58" i="2"/>
  <c r="F97" i="2"/>
  <c r="F32" i="2"/>
  <c r="F23" i="2"/>
  <c r="F48" i="2"/>
  <c r="H69" i="2"/>
  <c r="G69" i="2" s="1"/>
  <c r="F40" i="2"/>
  <c r="F89" i="2"/>
  <c r="F111" i="2"/>
  <c r="H31" i="2"/>
  <c r="G31" i="2" s="1"/>
  <c r="H90" i="2"/>
  <c r="G90" i="2" s="1"/>
  <c r="H108" i="2"/>
  <c r="G108" i="2" s="1"/>
  <c r="F80" i="2"/>
  <c r="F46" i="2"/>
  <c r="F100" i="2"/>
  <c r="F110" i="2"/>
  <c r="F20" i="2"/>
  <c r="F50" i="2"/>
  <c r="F64" i="2"/>
  <c r="H37" i="2"/>
  <c r="G37" i="2" s="1"/>
  <c r="F41" i="2"/>
  <c r="F71" i="2"/>
  <c r="H95" i="2"/>
  <c r="G95" i="2" s="1"/>
  <c r="F63" i="2"/>
  <c r="H87" i="2"/>
  <c r="G87" i="2" s="1"/>
  <c r="H105" i="2"/>
  <c r="G105" i="2" s="1"/>
  <c r="H22" i="2"/>
  <c r="G22" i="2" s="1"/>
  <c r="H116" i="2"/>
  <c r="G116" i="2" s="1"/>
  <c r="F107" i="2"/>
  <c r="F118" i="2"/>
  <c r="F42" i="2"/>
  <c r="F51" i="2"/>
  <c r="F59" i="2"/>
  <c r="F93" i="2"/>
  <c r="H24" i="2"/>
  <c r="G24" i="2" s="1"/>
  <c r="F52" i="2"/>
  <c r="H25" i="2"/>
  <c r="G25" i="2" s="1"/>
  <c r="H16" i="2"/>
  <c r="G16" i="2" s="1"/>
  <c r="H27" i="2"/>
  <c r="G27" i="2" s="1"/>
  <c r="H36" i="2"/>
  <c r="G36" i="2" s="1"/>
  <c r="H45" i="2"/>
  <c r="G45" i="2" s="1"/>
  <c r="H104" i="2"/>
  <c r="G104" i="2" s="1"/>
  <c r="H21" i="2"/>
  <c r="G21" i="2" s="1"/>
  <c r="H30" i="2"/>
  <c r="G30" i="2" s="1"/>
  <c r="H39" i="2"/>
  <c r="G39" i="2" s="1"/>
  <c r="H47" i="2"/>
  <c r="G47" i="2" s="1"/>
  <c r="H56" i="2"/>
  <c r="G56" i="2" s="1"/>
  <c r="H66" i="2"/>
  <c r="G66" i="2" s="1"/>
  <c r="H81" i="2"/>
  <c r="G81" i="2" s="1"/>
  <c r="H92" i="2"/>
  <c r="G92" i="2" s="1"/>
  <c r="H102" i="2"/>
  <c r="G102" i="2" s="1"/>
  <c r="H113" i="2"/>
  <c r="G113" i="2" s="1"/>
  <c r="F33" i="2"/>
  <c r="F67" i="2"/>
  <c r="F103" i="2"/>
  <c r="F34" i="2"/>
  <c r="F70" i="2"/>
  <c r="F96" i="2"/>
  <c r="F117" i="2"/>
  <c r="H18" i="2"/>
  <c r="G18" i="2" s="1"/>
  <c r="F26" i="2"/>
  <c r="F35" i="2"/>
  <c r="H43" i="2"/>
  <c r="G43" i="2" s="1"/>
  <c r="F44" i="2"/>
  <c r="F53" i="2"/>
  <c r="H62" i="2"/>
  <c r="G62" i="2" s="1"/>
  <c r="F65" i="2"/>
  <c r="F78" i="2"/>
  <c r="H88" i="2"/>
  <c r="G88" i="2" s="1"/>
  <c r="F91" i="2"/>
  <c r="F101" i="2"/>
  <c r="H106" i="2"/>
  <c r="G106" i="2" s="1"/>
  <c r="F112" i="2"/>
  <c r="F54" i="2"/>
  <c r="F68" i="2"/>
  <c r="F79" i="2"/>
  <c r="F94" i="2"/>
  <c r="F115" i="2"/>
  <c r="F114" i="2"/>
  <c r="AI105" i="2" l="1"/>
  <c r="AI50" i="2"/>
  <c r="AI56" i="2"/>
  <c r="AI58" i="2"/>
  <c r="AI55" i="2"/>
  <c r="AI53" i="2"/>
  <c r="AI102" i="2"/>
  <c r="AI110" i="2"/>
  <c r="AI104" i="2"/>
  <c r="AI36" i="2"/>
  <c r="AI25" i="2"/>
  <c r="AI54" i="2"/>
  <c r="AI30" i="2"/>
  <c r="AI59" i="2"/>
  <c r="AI57" i="2"/>
  <c r="AI21" i="2"/>
  <c r="AI33" i="2"/>
  <c r="AI118" i="2"/>
  <c r="AI26" i="2"/>
  <c r="AI35" i="2"/>
  <c r="AI22" i="2"/>
  <c r="AI115" i="2"/>
  <c r="AI116" i="2"/>
  <c r="AI111" i="2"/>
  <c r="AI100" i="2"/>
  <c r="AI113" i="2"/>
  <c r="AI52" i="2"/>
  <c r="AI107" i="2"/>
  <c r="AI108" i="2"/>
  <c r="AI103" i="2"/>
  <c r="AI112" i="2"/>
  <c r="AI40" i="2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8" i="7"/>
  <c r="H4" i="7"/>
  <c r="H5" i="7"/>
  <c r="H6" i="7"/>
  <c r="H7" i="7"/>
  <c r="H8" i="7"/>
  <c r="H9" i="7"/>
  <c r="H10" i="7"/>
  <c r="H11" i="7"/>
  <c r="H12" i="7"/>
  <c r="H13" i="7"/>
  <c r="I4" i="7"/>
  <c r="J4" i="7"/>
  <c r="K4" i="7"/>
  <c r="L4" i="7"/>
  <c r="M4" i="7"/>
  <c r="I5" i="7"/>
  <c r="J5" i="7"/>
  <c r="K5" i="7"/>
  <c r="L5" i="7"/>
  <c r="M5" i="7"/>
  <c r="I6" i="7"/>
  <c r="J6" i="7"/>
  <c r="K6" i="7"/>
  <c r="L6" i="7"/>
  <c r="M6" i="7"/>
  <c r="I7" i="7"/>
  <c r="J7" i="7"/>
  <c r="K7" i="7"/>
  <c r="L7" i="7"/>
  <c r="M7" i="7"/>
  <c r="I8" i="7"/>
  <c r="J8" i="7"/>
  <c r="K8" i="7"/>
  <c r="L8" i="7"/>
  <c r="M8" i="7"/>
  <c r="I9" i="7"/>
  <c r="J9" i="7"/>
  <c r="K9" i="7"/>
  <c r="L9" i="7"/>
  <c r="M9" i="7"/>
  <c r="I10" i="7"/>
  <c r="J10" i="7"/>
  <c r="K10" i="7"/>
  <c r="L10" i="7"/>
  <c r="M10" i="7"/>
  <c r="I11" i="7"/>
  <c r="J11" i="7"/>
  <c r="K11" i="7"/>
  <c r="L11" i="7"/>
  <c r="M11" i="7"/>
  <c r="I12" i="7"/>
  <c r="J12" i="7"/>
  <c r="K12" i="7"/>
  <c r="L12" i="7"/>
  <c r="M12" i="7"/>
  <c r="I13" i="7"/>
  <c r="J13" i="7"/>
  <c r="K13" i="7"/>
  <c r="L13" i="7"/>
  <c r="M13" i="7"/>
  <c r="B4" i="7"/>
  <c r="E17" i="7" s="1"/>
  <c r="B5" i="7"/>
  <c r="B6" i="7"/>
  <c r="H17" i="7" s="1"/>
  <c r="B7" i="7"/>
  <c r="I17" i="7" s="1"/>
  <c r="B8" i="7"/>
  <c r="J17" i="7" s="1"/>
  <c r="B9" i="7"/>
  <c r="K17" i="7" s="1"/>
  <c r="B10" i="7"/>
  <c r="L17" i="7" s="1"/>
  <c r="B11" i="7"/>
  <c r="M17" i="7" s="1"/>
  <c r="B12" i="7"/>
  <c r="N17" i="7" s="1"/>
  <c r="B13" i="7"/>
  <c r="O17" i="7" s="1"/>
  <c r="E9" i="7" l="1"/>
  <c r="F9" i="7" s="1"/>
  <c r="E7" i="7"/>
  <c r="F7" i="7" s="1"/>
  <c r="E6" i="7"/>
  <c r="F6" i="7" s="1"/>
  <c r="G86" i="7"/>
  <c r="G78" i="7"/>
  <c r="G85" i="7"/>
  <c r="G79" i="7"/>
  <c r="G72" i="7"/>
  <c r="G81" i="7"/>
  <c r="G82" i="7"/>
  <c r="G75" i="7"/>
  <c r="G76" i="7"/>
  <c r="G84" i="7"/>
  <c r="G87" i="7"/>
  <c r="G77" i="7"/>
  <c r="G80" i="7"/>
  <c r="G73" i="7"/>
  <c r="G74" i="7"/>
  <c r="G83" i="7"/>
  <c r="G22" i="7"/>
  <c r="G30" i="7"/>
  <c r="G38" i="7"/>
  <c r="G46" i="7"/>
  <c r="G54" i="7"/>
  <c r="G62" i="7"/>
  <c r="G70" i="7"/>
  <c r="G19" i="7"/>
  <c r="G25" i="7"/>
  <c r="G61" i="7"/>
  <c r="G26" i="7"/>
  <c r="G53" i="7"/>
  <c r="G35" i="7"/>
  <c r="G63" i="7"/>
  <c r="G27" i="7"/>
  <c r="G45" i="7"/>
  <c r="G64" i="7"/>
  <c r="G24" i="7"/>
  <c r="G33" i="7"/>
  <c r="G42" i="7"/>
  <c r="G51" i="7"/>
  <c r="G60" i="7"/>
  <c r="G69" i="7"/>
  <c r="G34" i="7"/>
  <c r="G43" i="7"/>
  <c r="G52" i="7"/>
  <c r="G71" i="7"/>
  <c r="G44" i="7"/>
  <c r="G18" i="7"/>
  <c r="G36" i="7"/>
  <c r="G55" i="7"/>
  <c r="G56" i="7"/>
  <c r="G20" i="7"/>
  <c r="G40" i="7"/>
  <c r="G66" i="7"/>
  <c r="G49" i="7"/>
  <c r="G32" i="7"/>
  <c r="G68" i="7"/>
  <c r="G39" i="7"/>
  <c r="G21" i="7"/>
  <c r="G23" i="7"/>
  <c r="G41" i="7"/>
  <c r="G59" i="7"/>
  <c r="G28" i="7"/>
  <c r="G47" i="7"/>
  <c r="G65" i="7"/>
  <c r="G29" i="7"/>
  <c r="G48" i="7"/>
  <c r="G31" i="7"/>
  <c r="G67" i="7"/>
  <c r="G50" i="7"/>
  <c r="G37" i="7"/>
  <c r="G57" i="7"/>
  <c r="G58" i="7"/>
  <c r="J33" i="7"/>
  <c r="J65" i="7"/>
  <c r="J97" i="7"/>
  <c r="J24" i="7"/>
  <c r="J32" i="7"/>
  <c r="J40" i="7"/>
  <c r="J48" i="7"/>
  <c r="J56" i="7"/>
  <c r="J64" i="7"/>
  <c r="J72" i="7"/>
  <c r="J80" i="7"/>
  <c r="J88" i="7"/>
  <c r="J96" i="7"/>
  <c r="J104" i="7"/>
  <c r="J112" i="7"/>
  <c r="J120" i="7"/>
  <c r="J128" i="7"/>
  <c r="J136" i="7"/>
  <c r="J144" i="7"/>
  <c r="J152" i="7"/>
  <c r="J160" i="7"/>
  <c r="J168" i="7"/>
  <c r="J176" i="7"/>
  <c r="J184" i="7"/>
  <c r="J192" i="7"/>
  <c r="J200" i="7"/>
  <c r="J208" i="7"/>
  <c r="J25" i="7"/>
  <c r="J41" i="7"/>
  <c r="J49" i="7"/>
  <c r="J57" i="7"/>
  <c r="J73" i="7"/>
  <c r="J81" i="7"/>
  <c r="J89" i="7"/>
  <c r="J105" i="7"/>
  <c r="J113" i="7"/>
  <c r="J121" i="7"/>
  <c r="J26" i="7"/>
  <c r="J36" i="7"/>
  <c r="J46" i="7"/>
  <c r="J58" i="7"/>
  <c r="J68" i="7"/>
  <c r="J78" i="7"/>
  <c r="J90" i="7"/>
  <c r="J100" i="7"/>
  <c r="J110" i="7"/>
  <c r="J122" i="7"/>
  <c r="J131" i="7"/>
  <c r="J140" i="7"/>
  <c r="J149" i="7"/>
  <c r="J158" i="7"/>
  <c r="J167" i="7"/>
  <c r="J177" i="7"/>
  <c r="J186" i="7"/>
  <c r="J195" i="7"/>
  <c r="J204" i="7"/>
  <c r="J19" i="7"/>
  <c r="J29" i="7"/>
  <c r="J39" i="7"/>
  <c r="J51" i="7"/>
  <c r="J61" i="7"/>
  <c r="J71" i="7"/>
  <c r="J83" i="7"/>
  <c r="J93" i="7"/>
  <c r="J103" i="7"/>
  <c r="J115" i="7"/>
  <c r="J125" i="7"/>
  <c r="J134" i="7"/>
  <c r="J143" i="7"/>
  <c r="J153" i="7"/>
  <c r="J162" i="7"/>
  <c r="J171" i="7"/>
  <c r="J180" i="7"/>
  <c r="J189" i="7"/>
  <c r="J198" i="7"/>
  <c r="J207" i="7"/>
  <c r="J38" i="7"/>
  <c r="J82" i="7"/>
  <c r="J124" i="7"/>
  <c r="J161" i="7"/>
  <c r="J197" i="7"/>
  <c r="J43" i="7"/>
  <c r="J70" i="7"/>
  <c r="J114" i="7"/>
  <c r="J151" i="7"/>
  <c r="J188" i="7"/>
  <c r="J27" i="7"/>
  <c r="J42" i="7"/>
  <c r="J54" i="7"/>
  <c r="J69" i="7"/>
  <c r="J84" i="7"/>
  <c r="J98" i="7"/>
  <c r="J111" i="7"/>
  <c r="J126" i="7"/>
  <c r="J138" i="7"/>
  <c r="J150" i="7"/>
  <c r="J163" i="7"/>
  <c r="J174" i="7"/>
  <c r="J187" i="7"/>
  <c r="J199" i="7"/>
  <c r="J55" i="7"/>
  <c r="J99" i="7"/>
  <c r="J139" i="7"/>
  <c r="J175" i="7"/>
  <c r="J22" i="7"/>
  <c r="J37" i="7"/>
  <c r="J52" i="7"/>
  <c r="J66" i="7"/>
  <c r="J79" i="7"/>
  <c r="J94" i="7"/>
  <c r="J108" i="7"/>
  <c r="J123" i="7"/>
  <c r="J135" i="7"/>
  <c r="J147" i="7"/>
  <c r="J159" i="7"/>
  <c r="J172" i="7"/>
  <c r="J183" i="7"/>
  <c r="J196" i="7"/>
  <c r="J209" i="7"/>
  <c r="J23" i="7"/>
  <c r="J53" i="7"/>
  <c r="J67" i="7"/>
  <c r="J95" i="7"/>
  <c r="J109" i="7"/>
  <c r="J137" i="7"/>
  <c r="J148" i="7"/>
  <c r="J173" i="7"/>
  <c r="J185" i="7"/>
  <c r="J18" i="7"/>
  <c r="J28" i="7"/>
  <c r="J85" i="7"/>
  <c r="J127" i="7"/>
  <c r="J164" i="7"/>
  <c r="J201" i="7"/>
  <c r="J75" i="7"/>
  <c r="J155" i="7"/>
  <c r="J47" i="7"/>
  <c r="J132" i="7"/>
  <c r="J31" i="7"/>
  <c r="J166" i="7"/>
  <c r="J91" i="7"/>
  <c r="J145" i="7"/>
  <c r="J193" i="7"/>
  <c r="J63" i="7"/>
  <c r="J119" i="7"/>
  <c r="J170" i="7"/>
  <c r="J44" i="7"/>
  <c r="J101" i="7"/>
  <c r="J154" i="7"/>
  <c r="J202" i="7"/>
  <c r="J102" i="7"/>
  <c r="J203" i="7"/>
  <c r="J106" i="7"/>
  <c r="J181" i="7"/>
  <c r="J21" i="7"/>
  <c r="J50" i="7"/>
  <c r="J77" i="7"/>
  <c r="J107" i="7"/>
  <c r="J133" i="7"/>
  <c r="J157" i="7"/>
  <c r="J182" i="7"/>
  <c r="J206" i="7"/>
  <c r="J30" i="7"/>
  <c r="J59" i="7"/>
  <c r="J86" i="7"/>
  <c r="J116" i="7"/>
  <c r="J141" i="7"/>
  <c r="J165" i="7"/>
  <c r="J190" i="7"/>
  <c r="J60" i="7"/>
  <c r="J87" i="7"/>
  <c r="J117" i="7"/>
  <c r="J142" i="7"/>
  <c r="J191" i="7"/>
  <c r="J34" i="7"/>
  <c r="J62" i="7"/>
  <c r="J118" i="7"/>
  <c r="J169" i="7"/>
  <c r="J35" i="7"/>
  <c r="J92" i="7"/>
  <c r="J146" i="7"/>
  <c r="J194" i="7"/>
  <c r="J74" i="7"/>
  <c r="J129" i="7"/>
  <c r="J178" i="7"/>
  <c r="J45" i="7"/>
  <c r="J130" i="7"/>
  <c r="J179" i="7"/>
  <c r="J20" i="7"/>
  <c r="J76" i="7"/>
  <c r="J156" i="7"/>
  <c r="J205" i="7"/>
  <c r="M25" i="7"/>
  <c r="M33" i="7"/>
  <c r="M41" i="7"/>
  <c r="M49" i="7"/>
  <c r="M57" i="7"/>
  <c r="M65" i="7"/>
  <c r="M73" i="7"/>
  <c r="M81" i="7"/>
  <c r="M89" i="7"/>
  <c r="M97" i="7"/>
  <c r="M105" i="7"/>
  <c r="M113" i="7"/>
  <c r="M121" i="7"/>
  <c r="M129" i="7"/>
  <c r="M137" i="7"/>
  <c r="M145" i="7"/>
  <c r="M153" i="7"/>
  <c r="M18" i="7"/>
  <c r="M26" i="7"/>
  <c r="M34" i="7"/>
  <c r="M42" i="7"/>
  <c r="M50" i="7"/>
  <c r="M58" i="7"/>
  <c r="M66" i="7"/>
  <c r="M74" i="7"/>
  <c r="M82" i="7"/>
  <c r="M90" i="7"/>
  <c r="M98" i="7"/>
  <c r="M106" i="7"/>
  <c r="M114" i="7"/>
  <c r="M122" i="7"/>
  <c r="M130" i="7"/>
  <c r="M138" i="7"/>
  <c r="M146" i="7"/>
  <c r="M154" i="7"/>
  <c r="M24" i="7"/>
  <c r="M32" i="7"/>
  <c r="M40" i="7"/>
  <c r="M48" i="7"/>
  <c r="M56" i="7"/>
  <c r="M64" i="7"/>
  <c r="M72" i="7"/>
  <c r="M80" i="7"/>
  <c r="M88" i="7"/>
  <c r="M96" i="7"/>
  <c r="M104" i="7"/>
  <c r="M112" i="7"/>
  <c r="M120" i="7"/>
  <c r="M128" i="7"/>
  <c r="M136" i="7"/>
  <c r="M144" i="7"/>
  <c r="M152" i="7"/>
  <c r="M160" i="7"/>
  <c r="M75" i="7"/>
  <c r="M150" i="7"/>
  <c r="M23" i="7"/>
  <c r="M37" i="7"/>
  <c r="M51" i="7"/>
  <c r="M62" i="7"/>
  <c r="M76" i="7"/>
  <c r="M87" i="7"/>
  <c r="M101" i="7"/>
  <c r="M115" i="7"/>
  <c r="M126" i="7"/>
  <c r="M140" i="7"/>
  <c r="M151" i="7"/>
  <c r="M21" i="7"/>
  <c r="M35" i="7"/>
  <c r="M46" i="7"/>
  <c r="M60" i="7"/>
  <c r="M71" i="7"/>
  <c r="M85" i="7"/>
  <c r="M99" i="7"/>
  <c r="M110" i="7"/>
  <c r="M124" i="7"/>
  <c r="M135" i="7"/>
  <c r="M149" i="7"/>
  <c r="M22" i="7"/>
  <c r="M36" i="7"/>
  <c r="M47" i="7"/>
  <c r="M61" i="7"/>
  <c r="M86" i="7"/>
  <c r="M100" i="7"/>
  <c r="M111" i="7"/>
  <c r="M125" i="7"/>
  <c r="M139" i="7"/>
  <c r="M20" i="7"/>
  <c r="M43" i="7"/>
  <c r="M63" i="7"/>
  <c r="M83" i="7"/>
  <c r="M103" i="7"/>
  <c r="M123" i="7"/>
  <c r="M143" i="7"/>
  <c r="M27" i="7"/>
  <c r="M44" i="7"/>
  <c r="M67" i="7"/>
  <c r="M84" i="7"/>
  <c r="M107" i="7"/>
  <c r="M127" i="7"/>
  <c r="M147" i="7"/>
  <c r="M29" i="7"/>
  <c r="M52" i="7"/>
  <c r="M69" i="7"/>
  <c r="M92" i="7"/>
  <c r="M109" i="7"/>
  <c r="M132" i="7"/>
  <c r="M155" i="7"/>
  <c r="M133" i="7"/>
  <c r="M28" i="7"/>
  <c r="M55" i="7"/>
  <c r="M93" i="7"/>
  <c r="M119" i="7"/>
  <c r="M157" i="7"/>
  <c r="M68" i="7"/>
  <c r="M159" i="7"/>
  <c r="M53" i="7"/>
  <c r="M79" i="7"/>
  <c r="M117" i="7"/>
  <c r="M148" i="7"/>
  <c r="M19" i="7"/>
  <c r="M54" i="7"/>
  <c r="M91" i="7"/>
  <c r="M118" i="7"/>
  <c r="M156" i="7"/>
  <c r="M30" i="7"/>
  <c r="M59" i="7"/>
  <c r="M94" i="7"/>
  <c r="M131" i="7"/>
  <c r="M158" i="7"/>
  <c r="M31" i="7"/>
  <c r="M95" i="7"/>
  <c r="M39" i="7"/>
  <c r="M134" i="7"/>
  <c r="M141" i="7"/>
  <c r="M108" i="7"/>
  <c r="M38" i="7"/>
  <c r="M116" i="7"/>
  <c r="M45" i="7"/>
  <c r="M70" i="7"/>
  <c r="M142" i="7"/>
  <c r="M77" i="7"/>
  <c r="M78" i="7"/>
  <c r="M102" i="7"/>
  <c r="E11" i="7"/>
  <c r="F11" i="7" s="1"/>
  <c r="K26" i="7"/>
  <c r="K34" i="7"/>
  <c r="K42" i="7"/>
  <c r="K50" i="7"/>
  <c r="K58" i="7"/>
  <c r="K66" i="7"/>
  <c r="K74" i="7"/>
  <c r="K82" i="7"/>
  <c r="K90" i="7"/>
  <c r="K19" i="7"/>
  <c r="K27" i="7"/>
  <c r="K35" i="7"/>
  <c r="K43" i="7"/>
  <c r="K51" i="7"/>
  <c r="K59" i="7"/>
  <c r="K67" i="7"/>
  <c r="K75" i="7"/>
  <c r="K83" i="7"/>
  <c r="K91" i="7"/>
  <c r="K25" i="7"/>
  <c r="K33" i="7"/>
  <c r="K41" i="7"/>
  <c r="K49" i="7"/>
  <c r="K57" i="7"/>
  <c r="K65" i="7"/>
  <c r="K73" i="7"/>
  <c r="K81" i="7"/>
  <c r="K89" i="7"/>
  <c r="K97" i="7"/>
  <c r="K85" i="7"/>
  <c r="K105" i="7"/>
  <c r="K121" i="7"/>
  <c r="K145" i="7"/>
  <c r="K169" i="7"/>
  <c r="K201" i="7"/>
  <c r="K22" i="7"/>
  <c r="K36" i="7"/>
  <c r="K47" i="7"/>
  <c r="K61" i="7"/>
  <c r="K72" i="7"/>
  <c r="K86" i="7"/>
  <c r="K98" i="7"/>
  <c r="K106" i="7"/>
  <c r="K114" i="7"/>
  <c r="K20" i="7"/>
  <c r="K31" i="7"/>
  <c r="K45" i="7"/>
  <c r="K56" i="7"/>
  <c r="K70" i="7"/>
  <c r="K84" i="7"/>
  <c r="K95" i="7"/>
  <c r="K104" i="7"/>
  <c r="K112" i="7"/>
  <c r="K120" i="7"/>
  <c r="K128" i="7"/>
  <c r="K136" i="7"/>
  <c r="K144" i="7"/>
  <c r="K152" i="7"/>
  <c r="K160" i="7"/>
  <c r="K168" i="7"/>
  <c r="K176" i="7"/>
  <c r="K184" i="7"/>
  <c r="K192" i="7"/>
  <c r="K200" i="7"/>
  <c r="K208" i="7"/>
  <c r="K21" i="7"/>
  <c r="K32" i="7"/>
  <c r="K46" i="7"/>
  <c r="K60" i="7"/>
  <c r="K71" i="7"/>
  <c r="K96" i="7"/>
  <c r="K113" i="7"/>
  <c r="K129" i="7"/>
  <c r="K137" i="7"/>
  <c r="K153" i="7"/>
  <c r="K161" i="7"/>
  <c r="K177" i="7"/>
  <c r="K185" i="7"/>
  <c r="K193" i="7"/>
  <c r="K209" i="7"/>
  <c r="K37" i="7"/>
  <c r="K54" i="7"/>
  <c r="K77" i="7"/>
  <c r="K94" i="7"/>
  <c r="K109" i="7"/>
  <c r="K122" i="7"/>
  <c r="K132" i="7"/>
  <c r="K142" i="7"/>
  <c r="K154" i="7"/>
  <c r="K164" i="7"/>
  <c r="K174" i="7"/>
  <c r="K186" i="7"/>
  <c r="K196" i="7"/>
  <c r="K206" i="7"/>
  <c r="K38" i="7"/>
  <c r="K23" i="7"/>
  <c r="K40" i="7"/>
  <c r="K63" i="7"/>
  <c r="K80" i="7"/>
  <c r="K101" i="7"/>
  <c r="K115" i="7"/>
  <c r="K125" i="7"/>
  <c r="K135" i="7"/>
  <c r="K147" i="7"/>
  <c r="K157" i="7"/>
  <c r="K167" i="7"/>
  <c r="K179" i="7"/>
  <c r="K189" i="7"/>
  <c r="K199" i="7"/>
  <c r="K131" i="7"/>
  <c r="K146" i="7"/>
  <c r="K173" i="7"/>
  <c r="K203" i="7"/>
  <c r="K119" i="7"/>
  <c r="K149" i="7"/>
  <c r="K178" i="7"/>
  <c r="K205" i="7"/>
  <c r="K28" i="7"/>
  <c r="K107" i="7"/>
  <c r="K138" i="7"/>
  <c r="K180" i="7"/>
  <c r="K52" i="7"/>
  <c r="K78" i="7"/>
  <c r="K102" i="7"/>
  <c r="K118" i="7"/>
  <c r="K133" i="7"/>
  <c r="K148" i="7"/>
  <c r="K162" i="7"/>
  <c r="K175" i="7"/>
  <c r="K190" i="7"/>
  <c r="K204" i="7"/>
  <c r="K79" i="7"/>
  <c r="K134" i="7"/>
  <c r="K191" i="7"/>
  <c r="K55" i="7"/>
  <c r="K123" i="7"/>
  <c r="K165" i="7"/>
  <c r="K44" i="7"/>
  <c r="K69" i="7"/>
  <c r="K99" i="7"/>
  <c r="K116" i="7"/>
  <c r="K130" i="7"/>
  <c r="K143" i="7"/>
  <c r="K158" i="7"/>
  <c r="K172" i="7"/>
  <c r="K187" i="7"/>
  <c r="K202" i="7"/>
  <c r="K48" i="7"/>
  <c r="K76" i="7"/>
  <c r="K100" i="7"/>
  <c r="K117" i="7"/>
  <c r="K159" i="7"/>
  <c r="K188" i="7"/>
  <c r="K24" i="7"/>
  <c r="K53" i="7"/>
  <c r="K103" i="7"/>
  <c r="K163" i="7"/>
  <c r="K87" i="7"/>
  <c r="K150" i="7"/>
  <c r="K194" i="7"/>
  <c r="K171" i="7"/>
  <c r="K140" i="7"/>
  <c r="K62" i="7"/>
  <c r="K197" i="7"/>
  <c r="K68" i="7"/>
  <c r="K198" i="7"/>
  <c r="K88" i="7"/>
  <c r="K170" i="7"/>
  <c r="K18" i="7"/>
  <c r="K30" i="7"/>
  <c r="K108" i="7"/>
  <c r="K141" i="7"/>
  <c r="K182" i="7"/>
  <c r="K39" i="7"/>
  <c r="K110" i="7"/>
  <c r="K151" i="7"/>
  <c r="K183" i="7"/>
  <c r="K111" i="7"/>
  <c r="K155" i="7"/>
  <c r="K195" i="7"/>
  <c r="K64" i="7"/>
  <c r="K124" i="7"/>
  <c r="K156" i="7"/>
  <c r="K126" i="7"/>
  <c r="K166" i="7"/>
  <c r="K127" i="7"/>
  <c r="K207" i="7"/>
  <c r="K92" i="7"/>
  <c r="K139" i="7"/>
  <c r="K29" i="7"/>
  <c r="K93" i="7"/>
  <c r="K181" i="7"/>
  <c r="E12" i="7"/>
  <c r="N22" i="7"/>
  <c r="N30" i="7"/>
  <c r="N38" i="7"/>
  <c r="N46" i="7"/>
  <c r="N54" i="7"/>
  <c r="N62" i="7"/>
  <c r="N70" i="7"/>
  <c r="N78" i="7"/>
  <c r="N86" i="7"/>
  <c r="N94" i="7"/>
  <c r="N102" i="7"/>
  <c r="N110" i="7"/>
  <c r="N118" i="7"/>
  <c r="N126" i="7"/>
  <c r="N134" i="7"/>
  <c r="N142" i="7"/>
  <c r="N150" i="7"/>
  <c r="N23" i="7"/>
  <c r="N31" i="7"/>
  <c r="N39" i="7"/>
  <c r="N47" i="7"/>
  <c r="N55" i="7"/>
  <c r="N63" i="7"/>
  <c r="N71" i="7"/>
  <c r="N79" i="7"/>
  <c r="N87" i="7"/>
  <c r="N95" i="7"/>
  <c r="N103" i="7"/>
  <c r="N111" i="7"/>
  <c r="N119" i="7"/>
  <c r="N127" i="7"/>
  <c r="N135" i="7"/>
  <c r="N143" i="7"/>
  <c r="N18" i="7"/>
  <c r="N21" i="7"/>
  <c r="N29" i="7"/>
  <c r="N37" i="7"/>
  <c r="N45" i="7"/>
  <c r="N53" i="7"/>
  <c r="N61" i="7"/>
  <c r="N69" i="7"/>
  <c r="N77" i="7"/>
  <c r="N85" i="7"/>
  <c r="N93" i="7"/>
  <c r="N101" i="7"/>
  <c r="N109" i="7"/>
  <c r="N117" i="7"/>
  <c r="N125" i="7"/>
  <c r="N133" i="7"/>
  <c r="N141" i="7"/>
  <c r="N149" i="7"/>
  <c r="N27" i="7"/>
  <c r="N41" i="7"/>
  <c r="N52" i="7"/>
  <c r="N66" i="7"/>
  <c r="N80" i="7"/>
  <c r="N91" i="7"/>
  <c r="N105" i="7"/>
  <c r="N116" i="7"/>
  <c r="N144" i="7"/>
  <c r="N28" i="7"/>
  <c r="N42" i="7"/>
  <c r="N56" i="7"/>
  <c r="N67" i="7"/>
  <c r="N81" i="7"/>
  <c r="N92" i="7"/>
  <c r="N106" i="7"/>
  <c r="N120" i="7"/>
  <c r="N131" i="7"/>
  <c r="N145" i="7"/>
  <c r="N26" i="7"/>
  <c r="N40" i="7"/>
  <c r="N51" i="7"/>
  <c r="N65" i="7"/>
  <c r="N76" i="7"/>
  <c r="N90" i="7"/>
  <c r="N104" i="7"/>
  <c r="N115" i="7"/>
  <c r="N129" i="7"/>
  <c r="N140" i="7"/>
  <c r="N130" i="7"/>
  <c r="N33" i="7"/>
  <c r="N50" i="7"/>
  <c r="N73" i="7"/>
  <c r="N96" i="7"/>
  <c r="N113" i="7"/>
  <c r="N136" i="7"/>
  <c r="N34" i="7"/>
  <c r="N57" i="7"/>
  <c r="N74" i="7"/>
  <c r="N97" i="7"/>
  <c r="N114" i="7"/>
  <c r="N137" i="7"/>
  <c r="N19" i="7"/>
  <c r="N36" i="7"/>
  <c r="N59" i="7"/>
  <c r="N82" i="7"/>
  <c r="N99" i="7"/>
  <c r="N122" i="7"/>
  <c r="N139" i="7"/>
  <c r="N123" i="7"/>
  <c r="N25" i="7"/>
  <c r="N60" i="7"/>
  <c r="N89" i="7"/>
  <c r="N124" i="7"/>
  <c r="N20" i="7"/>
  <c r="N49" i="7"/>
  <c r="N84" i="7"/>
  <c r="N121" i="7"/>
  <c r="N148" i="7"/>
  <c r="N24" i="7"/>
  <c r="N58" i="7"/>
  <c r="N88" i="7"/>
  <c r="N32" i="7"/>
  <c r="N64" i="7"/>
  <c r="N98" i="7"/>
  <c r="N128" i="7"/>
  <c r="N35" i="7"/>
  <c r="N68" i="7"/>
  <c r="N100" i="7"/>
  <c r="N132" i="7"/>
  <c r="N48" i="7"/>
  <c r="N83" i="7"/>
  <c r="N43" i="7"/>
  <c r="N138" i="7"/>
  <c r="N72" i="7"/>
  <c r="N147" i="7"/>
  <c r="N75" i="7"/>
  <c r="N107" i="7"/>
  <c r="N108" i="7"/>
  <c r="N112" i="7"/>
  <c r="N44" i="7"/>
  <c r="N146" i="7"/>
  <c r="E82" i="7"/>
  <c r="E74" i="7"/>
  <c r="E83" i="7"/>
  <c r="E75" i="7"/>
  <c r="E81" i="7"/>
  <c r="E77" i="7"/>
  <c r="E80" i="7"/>
  <c r="E72" i="7"/>
  <c r="E84" i="7"/>
  <c r="E73" i="7"/>
  <c r="E76" i="7"/>
  <c r="E78" i="7"/>
  <c r="E79" i="7"/>
  <c r="E18" i="7"/>
  <c r="F43" i="7"/>
  <c r="F17" i="7"/>
  <c r="G17" i="7"/>
  <c r="I19" i="7"/>
  <c r="I18" i="7"/>
  <c r="F19" i="7"/>
  <c r="L26" i="7"/>
  <c r="L34" i="7"/>
  <c r="L42" i="7"/>
  <c r="L50" i="7"/>
  <c r="L58" i="7"/>
  <c r="L66" i="7"/>
  <c r="L74" i="7"/>
  <c r="L82" i="7"/>
  <c r="L90" i="7"/>
  <c r="L98" i="7"/>
  <c r="L106" i="7"/>
  <c r="L114" i="7"/>
  <c r="L122" i="7"/>
  <c r="L130" i="7"/>
  <c r="L138" i="7"/>
  <c r="L146" i="7"/>
  <c r="L154" i="7"/>
  <c r="L162" i="7"/>
  <c r="L170" i="7"/>
  <c r="L178" i="7"/>
  <c r="L186" i="7"/>
  <c r="L194" i="7"/>
  <c r="L202" i="7"/>
  <c r="L18" i="7"/>
  <c r="L19" i="7"/>
  <c r="L27" i="7"/>
  <c r="L35" i="7"/>
  <c r="L43" i="7"/>
  <c r="L51" i="7"/>
  <c r="L59" i="7"/>
  <c r="L67" i="7"/>
  <c r="L75" i="7"/>
  <c r="L83" i="7"/>
  <c r="L91" i="7"/>
  <c r="L99" i="7"/>
  <c r="L107" i="7"/>
  <c r="L115" i="7"/>
  <c r="L123" i="7"/>
  <c r="L131" i="7"/>
  <c r="L139" i="7"/>
  <c r="L147" i="7"/>
  <c r="L155" i="7"/>
  <c r="L163" i="7"/>
  <c r="L171" i="7"/>
  <c r="L179" i="7"/>
  <c r="L187" i="7"/>
  <c r="L195" i="7"/>
  <c r="L203" i="7"/>
  <c r="L25" i="7"/>
  <c r="L33" i="7"/>
  <c r="L41" i="7"/>
  <c r="L49" i="7"/>
  <c r="L57" i="7"/>
  <c r="L65" i="7"/>
  <c r="L73" i="7"/>
  <c r="L81" i="7"/>
  <c r="L89" i="7"/>
  <c r="L97" i="7"/>
  <c r="L105" i="7"/>
  <c r="L113" i="7"/>
  <c r="L121" i="7"/>
  <c r="L129" i="7"/>
  <c r="L137" i="7"/>
  <c r="L145" i="7"/>
  <c r="L153" i="7"/>
  <c r="L161" i="7"/>
  <c r="L169" i="7"/>
  <c r="L177" i="7"/>
  <c r="L185" i="7"/>
  <c r="L193" i="7"/>
  <c r="L201" i="7"/>
  <c r="L209" i="7"/>
  <c r="L85" i="7"/>
  <c r="L149" i="7"/>
  <c r="L199" i="7"/>
  <c r="L22" i="7"/>
  <c r="L36" i="7"/>
  <c r="L47" i="7"/>
  <c r="L61" i="7"/>
  <c r="L72" i="7"/>
  <c r="L86" i="7"/>
  <c r="L100" i="7"/>
  <c r="L111" i="7"/>
  <c r="L125" i="7"/>
  <c r="L136" i="7"/>
  <c r="L150" i="7"/>
  <c r="L164" i="7"/>
  <c r="L175" i="7"/>
  <c r="L189" i="7"/>
  <c r="L200" i="7"/>
  <c r="L20" i="7"/>
  <c r="L31" i="7"/>
  <c r="L45" i="7"/>
  <c r="L56" i="7"/>
  <c r="L70" i="7"/>
  <c r="L84" i="7"/>
  <c r="L95" i="7"/>
  <c r="L109" i="7"/>
  <c r="L120" i="7"/>
  <c r="L134" i="7"/>
  <c r="L148" i="7"/>
  <c r="L159" i="7"/>
  <c r="L173" i="7"/>
  <c r="L184" i="7"/>
  <c r="L198" i="7"/>
  <c r="L21" i="7"/>
  <c r="L32" i="7"/>
  <c r="L46" i="7"/>
  <c r="L60" i="7"/>
  <c r="L71" i="7"/>
  <c r="L96" i="7"/>
  <c r="L110" i="7"/>
  <c r="L124" i="7"/>
  <c r="L135" i="7"/>
  <c r="L160" i="7"/>
  <c r="L174" i="7"/>
  <c r="L188" i="7"/>
  <c r="L23" i="7"/>
  <c r="L40" i="7"/>
  <c r="L63" i="7"/>
  <c r="L80" i="7"/>
  <c r="L103" i="7"/>
  <c r="L126" i="7"/>
  <c r="L143" i="7"/>
  <c r="L166" i="7"/>
  <c r="L183" i="7"/>
  <c r="L206" i="7"/>
  <c r="L24" i="7"/>
  <c r="L44" i="7"/>
  <c r="L64" i="7"/>
  <c r="L87" i="7"/>
  <c r="L104" i="7"/>
  <c r="L127" i="7"/>
  <c r="L144" i="7"/>
  <c r="L167" i="7"/>
  <c r="L190" i="7"/>
  <c r="L207" i="7"/>
  <c r="L29" i="7"/>
  <c r="L52" i="7"/>
  <c r="L69" i="7"/>
  <c r="L92" i="7"/>
  <c r="L112" i="7"/>
  <c r="L132" i="7"/>
  <c r="L152" i="7"/>
  <c r="L172" i="7"/>
  <c r="L192" i="7"/>
  <c r="L176" i="7"/>
  <c r="L181" i="7"/>
  <c r="L54" i="7"/>
  <c r="L88" i="7"/>
  <c r="L182" i="7"/>
  <c r="L48" i="7"/>
  <c r="L78" i="7"/>
  <c r="L116" i="7"/>
  <c r="L142" i="7"/>
  <c r="L180" i="7"/>
  <c r="L208" i="7"/>
  <c r="L151" i="7"/>
  <c r="L156" i="7"/>
  <c r="L38" i="7"/>
  <c r="L76" i="7"/>
  <c r="L102" i="7"/>
  <c r="L140" i="7"/>
  <c r="L168" i="7"/>
  <c r="L204" i="7"/>
  <c r="L39" i="7"/>
  <c r="L77" i="7"/>
  <c r="L108" i="7"/>
  <c r="L141" i="7"/>
  <c r="L205" i="7"/>
  <c r="L53" i="7"/>
  <c r="L79" i="7"/>
  <c r="L117" i="7"/>
  <c r="L118" i="7"/>
  <c r="L119" i="7"/>
  <c r="L68" i="7"/>
  <c r="L94" i="7"/>
  <c r="L28" i="7"/>
  <c r="L197" i="7"/>
  <c r="L37" i="7"/>
  <c r="L55" i="7"/>
  <c r="L133" i="7"/>
  <c r="L62" i="7"/>
  <c r="L157" i="7"/>
  <c r="L158" i="7"/>
  <c r="L93" i="7"/>
  <c r="L165" i="7"/>
  <c r="L191" i="7"/>
  <c r="L101" i="7"/>
  <c r="L196" i="7"/>
  <c r="L30" i="7"/>
  <c r="L128" i="7"/>
  <c r="E4" i="7"/>
  <c r="F4" i="7" s="1"/>
  <c r="O19" i="7"/>
  <c r="O27" i="7"/>
  <c r="O35" i="7"/>
  <c r="O43" i="7"/>
  <c r="O51" i="7"/>
  <c r="O59" i="7"/>
  <c r="O67" i="7"/>
  <c r="O75" i="7"/>
  <c r="O83" i="7"/>
  <c r="O91" i="7"/>
  <c r="O99" i="7"/>
  <c r="O107" i="7"/>
  <c r="O115" i="7"/>
  <c r="O123" i="7"/>
  <c r="O131" i="7"/>
  <c r="O139" i="7"/>
  <c r="O147" i="7"/>
  <c r="O20" i="7"/>
  <c r="O28" i="7"/>
  <c r="O36" i="7"/>
  <c r="O44" i="7"/>
  <c r="O52" i="7"/>
  <c r="O60" i="7"/>
  <c r="O68" i="7"/>
  <c r="O76" i="7"/>
  <c r="O84" i="7"/>
  <c r="O92" i="7"/>
  <c r="O100" i="7"/>
  <c r="O108" i="7"/>
  <c r="O116" i="7"/>
  <c r="O124" i="7"/>
  <c r="O132" i="7"/>
  <c r="O140" i="7"/>
  <c r="O148" i="7"/>
  <c r="O26" i="7"/>
  <c r="O34" i="7"/>
  <c r="O42" i="7"/>
  <c r="O50" i="7"/>
  <c r="O58" i="7"/>
  <c r="O66" i="7"/>
  <c r="O74" i="7"/>
  <c r="O82" i="7"/>
  <c r="O90" i="7"/>
  <c r="O98" i="7"/>
  <c r="O106" i="7"/>
  <c r="O114" i="7"/>
  <c r="O122" i="7"/>
  <c r="O130" i="7"/>
  <c r="O138" i="7"/>
  <c r="O146" i="7"/>
  <c r="O21" i="7"/>
  <c r="O32" i="7"/>
  <c r="O46" i="7"/>
  <c r="O57" i="7"/>
  <c r="O71" i="7"/>
  <c r="O85" i="7"/>
  <c r="O96" i="7"/>
  <c r="O121" i="7"/>
  <c r="O135" i="7"/>
  <c r="O149" i="7"/>
  <c r="O22" i="7"/>
  <c r="O33" i="7"/>
  <c r="O47" i="7"/>
  <c r="O61" i="7"/>
  <c r="O72" i="7"/>
  <c r="O86" i="7"/>
  <c r="O97" i="7"/>
  <c r="O111" i="7"/>
  <c r="O125" i="7"/>
  <c r="O136" i="7"/>
  <c r="O150" i="7"/>
  <c r="O31" i="7"/>
  <c r="O45" i="7"/>
  <c r="O56" i="7"/>
  <c r="O70" i="7"/>
  <c r="O81" i="7"/>
  <c r="O95" i="7"/>
  <c r="O109" i="7"/>
  <c r="O120" i="7"/>
  <c r="O134" i="7"/>
  <c r="O145" i="7"/>
  <c r="O110" i="7"/>
  <c r="O23" i="7"/>
  <c r="O40" i="7"/>
  <c r="O63" i="7"/>
  <c r="O80" i="7"/>
  <c r="O103" i="7"/>
  <c r="O126" i="7"/>
  <c r="O143" i="7"/>
  <c r="O24" i="7"/>
  <c r="O41" i="7"/>
  <c r="O64" i="7"/>
  <c r="O87" i="7"/>
  <c r="O104" i="7"/>
  <c r="O127" i="7"/>
  <c r="O144" i="7"/>
  <c r="O29" i="7"/>
  <c r="O49" i="7"/>
  <c r="O69" i="7"/>
  <c r="O89" i="7"/>
  <c r="O112" i="7"/>
  <c r="O129" i="7"/>
  <c r="O37" i="7"/>
  <c r="O102" i="7"/>
  <c r="O30" i="7"/>
  <c r="O62" i="7"/>
  <c r="O94" i="7"/>
  <c r="O128" i="7"/>
  <c r="O101" i="7"/>
  <c r="O38" i="7"/>
  <c r="O54" i="7"/>
  <c r="O88" i="7"/>
  <c r="O118" i="7"/>
  <c r="O25" i="7"/>
  <c r="O55" i="7"/>
  <c r="O93" i="7"/>
  <c r="O119" i="7"/>
  <c r="O65" i="7"/>
  <c r="O133" i="7"/>
  <c r="O73" i="7"/>
  <c r="O137" i="7"/>
  <c r="O79" i="7"/>
  <c r="O48" i="7"/>
  <c r="O141" i="7"/>
  <c r="O18" i="7"/>
  <c r="O113" i="7"/>
  <c r="O39" i="7"/>
  <c r="O117" i="7"/>
  <c r="O53" i="7"/>
  <c r="O142" i="7"/>
  <c r="O77" i="7"/>
  <c r="O78" i="7"/>
  <c r="O105" i="7"/>
  <c r="H22" i="7"/>
  <c r="H30" i="7"/>
  <c r="H38" i="7"/>
  <c r="H46" i="7"/>
  <c r="H54" i="7"/>
  <c r="H62" i="7"/>
  <c r="H70" i="7"/>
  <c r="H78" i="7"/>
  <c r="H86" i="7"/>
  <c r="H94" i="7"/>
  <c r="H102" i="7"/>
  <c r="H110" i="7"/>
  <c r="H118" i="7"/>
  <c r="H126" i="7"/>
  <c r="H134" i="7"/>
  <c r="H142" i="7"/>
  <c r="H150" i="7"/>
  <c r="H158" i="7"/>
  <c r="H166" i="7"/>
  <c r="H174" i="7"/>
  <c r="H182" i="7"/>
  <c r="H190" i="7"/>
  <c r="H198" i="7"/>
  <c r="H206" i="7"/>
  <c r="H19" i="7"/>
  <c r="H28" i="7"/>
  <c r="H37" i="7"/>
  <c r="H47" i="7"/>
  <c r="H56" i="7"/>
  <c r="H65" i="7"/>
  <c r="H74" i="7"/>
  <c r="H83" i="7"/>
  <c r="H92" i="7"/>
  <c r="H101" i="7"/>
  <c r="H111" i="7"/>
  <c r="H120" i="7"/>
  <c r="H129" i="7"/>
  <c r="H138" i="7"/>
  <c r="H147" i="7"/>
  <c r="H156" i="7"/>
  <c r="H165" i="7"/>
  <c r="H175" i="7"/>
  <c r="H184" i="7"/>
  <c r="H193" i="7"/>
  <c r="H202" i="7"/>
  <c r="H23" i="7"/>
  <c r="H32" i="7"/>
  <c r="H41" i="7"/>
  <c r="H50" i="7"/>
  <c r="H59" i="7"/>
  <c r="H68" i="7"/>
  <c r="H77" i="7"/>
  <c r="H87" i="7"/>
  <c r="H96" i="7"/>
  <c r="H105" i="7"/>
  <c r="H40" i="7"/>
  <c r="H76" i="7"/>
  <c r="H100" i="7"/>
  <c r="H123" i="7"/>
  <c r="H144" i="7"/>
  <c r="H176" i="7"/>
  <c r="H43" i="7"/>
  <c r="H80" i="7"/>
  <c r="H125" i="7"/>
  <c r="H168" i="7"/>
  <c r="H209" i="7"/>
  <c r="H29" i="7"/>
  <c r="H42" i="7"/>
  <c r="H53" i="7"/>
  <c r="H66" i="7"/>
  <c r="H79" i="7"/>
  <c r="H90" i="7"/>
  <c r="H103" i="7"/>
  <c r="H114" i="7"/>
  <c r="H124" i="7"/>
  <c r="H135" i="7"/>
  <c r="H145" i="7"/>
  <c r="H155" i="7"/>
  <c r="H167" i="7"/>
  <c r="H177" i="7"/>
  <c r="H197" i="7"/>
  <c r="H31" i="7"/>
  <c r="H67" i="7"/>
  <c r="H104" i="7"/>
  <c r="H146" i="7"/>
  <c r="H188" i="7"/>
  <c r="H26" i="7"/>
  <c r="H39" i="7"/>
  <c r="H51" i="7"/>
  <c r="H63" i="7"/>
  <c r="H75" i="7"/>
  <c r="H88" i="7"/>
  <c r="H99" i="7"/>
  <c r="H112" i="7"/>
  <c r="H122" i="7"/>
  <c r="H132" i="7"/>
  <c r="H143" i="7"/>
  <c r="H153" i="7"/>
  <c r="H163" i="7"/>
  <c r="H173" i="7"/>
  <c r="H185" i="7"/>
  <c r="H195" i="7"/>
  <c r="H205" i="7"/>
  <c r="H27" i="7"/>
  <c r="H52" i="7"/>
  <c r="H64" i="7"/>
  <c r="H89" i="7"/>
  <c r="H113" i="7"/>
  <c r="H133" i="7"/>
  <c r="H154" i="7"/>
  <c r="H164" i="7"/>
  <c r="H186" i="7"/>
  <c r="H196" i="7"/>
  <c r="H207" i="7"/>
  <c r="H187" i="7"/>
  <c r="H208" i="7"/>
  <c r="H55" i="7"/>
  <c r="H91" i="7"/>
  <c r="H115" i="7"/>
  <c r="H136" i="7"/>
  <c r="H157" i="7"/>
  <c r="H178" i="7"/>
  <c r="H199" i="7"/>
  <c r="H148" i="7"/>
  <c r="H58" i="7"/>
  <c r="H128" i="7"/>
  <c r="H35" i="7"/>
  <c r="H108" i="7"/>
  <c r="H171" i="7"/>
  <c r="H117" i="7"/>
  <c r="H72" i="7"/>
  <c r="H119" i="7"/>
  <c r="H161" i="7"/>
  <c r="H203" i="7"/>
  <c r="H25" i="7"/>
  <c r="H73" i="7"/>
  <c r="H121" i="7"/>
  <c r="H183" i="7"/>
  <c r="H57" i="7"/>
  <c r="H127" i="7"/>
  <c r="H189" i="7"/>
  <c r="H82" i="7"/>
  <c r="H170" i="7"/>
  <c r="H84" i="7"/>
  <c r="H151" i="7"/>
  <c r="H36" i="7"/>
  <c r="H61" i="7"/>
  <c r="H85" i="7"/>
  <c r="H109" i="7"/>
  <c r="H131" i="7"/>
  <c r="H152" i="7"/>
  <c r="H172" i="7"/>
  <c r="H194" i="7"/>
  <c r="H20" i="7"/>
  <c r="H44" i="7"/>
  <c r="H69" i="7"/>
  <c r="H93" i="7"/>
  <c r="H116" i="7"/>
  <c r="H137" i="7"/>
  <c r="H159" i="7"/>
  <c r="H179" i="7"/>
  <c r="H200" i="7"/>
  <c r="H21" i="7"/>
  <c r="H45" i="7"/>
  <c r="H71" i="7"/>
  <c r="H95" i="7"/>
  <c r="H139" i="7"/>
  <c r="H160" i="7"/>
  <c r="H180" i="7"/>
  <c r="H201" i="7"/>
  <c r="H24" i="7"/>
  <c r="H48" i="7"/>
  <c r="H97" i="7"/>
  <c r="H140" i="7"/>
  <c r="H181" i="7"/>
  <c r="H49" i="7"/>
  <c r="H98" i="7"/>
  <c r="H141" i="7"/>
  <c r="H162" i="7"/>
  <c r="H204" i="7"/>
  <c r="H33" i="7"/>
  <c r="H81" i="7"/>
  <c r="H106" i="7"/>
  <c r="H169" i="7"/>
  <c r="H18" i="7"/>
  <c r="H34" i="7"/>
  <c r="H107" i="7"/>
  <c r="H149" i="7"/>
  <c r="H191" i="7"/>
  <c r="H60" i="7"/>
  <c r="H130" i="7"/>
  <c r="H192" i="7"/>
  <c r="I26" i="7"/>
  <c r="I34" i="7"/>
  <c r="I42" i="7"/>
  <c r="I50" i="7"/>
  <c r="I58" i="7"/>
  <c r="I66" i="7"/>
  <c r="I74" i="7"/>
  <c r="I82" i="7"/>
  <c r="I90" i="7"/>
  <c r="I98" i="7"/>
  <c r="I106" i="7"/>
  <c r="I114" i="7"/>
  <c r="I122" i="7"/>
  <c r="I130" i="7"/>
  <c r="I138" i="7"/>
  <c r="I146" i="7"/>
  <c r="I154" i="7"/>
  <c r="I162" i="7"/>
  <c r="I170" i="7"/>
  <c r="I178" i="7"/>
  <c r="I186" i="7"/>
  <c r="I194" i="7"/>
  <c r="I202" i="7"/>
  <c r="I203" i="7"/>
  <c r="I20" i="7"/>
  <c r="I36" i="7"/>
  <c r="I52" i="7"/>
  <c r="I76" i="7"/>
  <c r="I92" i="7"/>
  <c r="I108" i="7"/>
  <c r="I124" i="7"/>
  <c r="I140" i="7"/>
  <c r="I156" i="7"/>
  <c r="I172" i="7"/>
  <c r="I188" i="7"/>
  <c r="I204" i="7"/>
  <c r="I182" i="7"/>
  <c r="I39" i="7"/>
  <c r="I63" i="7"/>
  <c r="I87" i="7"/>
  <c r="I111" i="7"/>
  <c r="I135" i="7"/>
  <c r="I159" i="7"/>
  <c r="I183" i="7"/>
  <c r="I207" i="7"/>
  <c r="I40" i="7"/>
  <c r="I64" i="7"/>
  <c r="I88" i="7"/>
  <c r="I112" i="7"/>
  <c r="I136" i="7"/>
  <c r="I160" i="7"/>
  <c r="I184" i="7"/>
  <c r="I200" i="7"/>
  <c r="I25" i="7"/>
  <c r="I49" i="7"/>
  <c r="I81" i="7"/>
  <c r="I105" i="7"/>
  <c r="I129" i="7"/>
  <c r="I161" i="7"/>
  <c r="I185" i="7"/>
  <c r="I209" i="7"/>
  <c r="I27" i="7"/>
  <c r="I35" i="7"/>
  <c r="I43" i="7"/>
  <c r="I51" i="7"/>
  <c r="I59" i="7"/>
  <c r="I67" i="7"/>
  <c r="I75" i="7"/>
  <c r="I83" i="7"/>
  <c r="I91" i="7"/>
  <c r="I99" i="7"/>
  <c r="I107" i="7"/>
  <c r="I115" i="7"/>
  <c r="I123" i="7"/>
  <c r="I131" i="7"/>
  <c r="I139" i="7"/>
  <c r="I147" i="7"/>
  <c r="I155" i="7"/>
  <c r="I163" i="7"/>
  <c r="I171" i="7"/>
  <c r="I179" i="7"/>
  <c r="I187" i="7"/>
  <c r="I195" i="7"/>
  <c r="I28" i="7"/>
  <c r="I44" i="7"/>
  <c r="I60" i="7"/>
  <c r="I68" i="7"/>
  <c r="I84" i="7"/>
  <c r="I100" i="7"/>
  <c r="I116" i="7"/>
  <c r="I132" i="7"/>
  <c r="I148" i="7"/>
  <c r="I164" i="7"/>
  <c r="I180" i="7"/>
  <c r="I196" i="7"/>
  <c r="I190" i="7"/>
  <c r="I31" i="7"/>
  <c r="I55" i="7"/>
  <c r="I79" i="7"/>
  <c r="I103" i="7"/>
  <c r="I127" i="7"/>
  <c r="I151" i="7"/>
  <c r="I175" i="7"/>
  <c r="I199" i="7"/>
  <c r="I32" i="7"/>
  <c r="I56" i="7"/>
  <c r="I80" i="7"/>
  <c r="I104" i="7"/>
  <c r="I128" i="7"/>
  <c r="I152" i="7"/>
  <c r="I168" i="7"/>
  <c r="I192" i="7"/>
  <c r="I41" i="7"/>
  <c r="I65" i="7"/>
  <c r="I89" i="7"/>
  <c r="I113" i="7"/>
  <c r="I137" i="7"/>
  <c r="I153" i="7"/>
  <c r="I177" i="7"/>
  <c r="I201" i="7"/>
  <c r="I21" i="7"/>
  <c r="I29" i="7"/>
  <c r="I37" i="7"/>
  <c r="I45" i="7"/>
  <c r="I53" i="7"/>
  <c r="I61" i="7"/>
  <c r="I69" i="7"/>
  <c r="I77" i="7"/>
  <c r="I85" i="7"/>
  <c r="I93" i="7"/>
  <c r="I101" i="7"/>
  <c r="I109" i="7"/>
  <c r="I117" i="7"/>
  <c r="I125" i="7"/>
  <c r="I133" i="7"/>
  <c r="I141" i="7"/>
  <c r="I149" i="7"/>
  <c r="I157" i="7"/>
  <c r="I165" i="7"/>
  <c r="I173" i="7"/>
  <c r="I181" i="7"/>
  <c r="I189" i="7"/>
  <c r="I197" i="7"/>
  <c r="I205" i="7"/>
  <c r="I22" i="7"/>
  <c r="I30" i="7"/>
  <c r="I38" i="7"/>
  <c r="I46" i="7"/>
  <c r="I54" i="7"/>
  <c r="I62" i="7"/>
  <c r="I70" i="7"/>
  <c r="I78" i="7"/>
  <c r="I86" i="7"/>
  <c r="I94" i="7"/>
  <c r="I102" i="7"/>
  <c r="I110" i="7"/>
  <c r="I118" i="7"/>
  <c r="I126" i="7"/>
  <c r="I134" i="7"/>
  <c r="I142" i="7"/>
  <c r="I150" i="7"/>
  <c r="I158" i="7"/>
  <c r="I166" i="7"/>
  <c r="I174" i="7"/>
  <c r="I198" i="7"/>
  <c r="I206" i="7"/>
  <c r="I23" i="7"/>
  <c r="I47" i="7"/>
  <c r="I71" i="7"/>
  <c r="I95" i="7"/>
  <c r="I119" i="7"/>
  <c r="I143" i="7"/>
  <c r="I167" i="7"/>
  <c r="I191" i="7"/>
  <c r="I24" i="7"/>
  <c r="I48" i="7"/>
  <c r="I72" i="7"/>
  <c r="I96" i="7"/>
  <c r="I120" i="7"/>
  <c r="I144" i="7"/>
  <c r="I176" i="7"/>
  <c r="I208" i="7"/>
  <c r="I33" i="7"/>
  <c r="I57" i="7"/>
  <c r="I73" i="7"/>
  <c r="I97" i="7"/>
  <c r="I121" i="7"/>
  <c r="I145" i="7"/>
  <c r="I169" i="7"/>
  <c r="I193" i="7"/>
  <c r="F42" i="7"/>
  <c r="F22" i="7"/>
  <c r="F68" i="7"/>
  <c r="F30" i="7"/>
  <c r="F58" i="7"/>
  <c r="F51" i="7"/>
  <c r="F41" i="7"/>
  <c r="F38" i="7"/>
  <c r="F65" i="7"/>
  <c r="F27" i="7"/>
  <c r="F66" i="7"/>
  <c r="F26" i="7"/>
  <c r="F52" i="7"/>
  <c r="F57" i="7"/>
  <c r="F33" i="7"/>
  <c r="E42" i="7"/>
  <c r="F67" i="7"/>
  <c r="F28" i="7"/>
  <c r="F54" i="7"/>
  <c r="F70" i="7"/>
  <c r="E8" i="7"/>
  <c r="F44" i="7"/>
  <c r="E5" i="7"/>
  <c r="F5" i="7" s="1"/>
  <c r="F18" i="7"/>
  <c r="F62" i="7"/>
  <c r="F50" i="7"/>
  <c r="F36" i="7"/>
  <c r="F25" i="7"/>
  <c r="E10" i="7"/>
  <c r="F10" i="7" s="1"/>
  <c r="F60" i="7"/>
  <c r="F49" i="7"/>
  <c r="F35" i="7"/>
  <c r="F21" i="7"/>
  <c r="F29" i="7"/>
  <c r="F37" i="7"/>
  <c r="F45" i="7"/>
  <c r="F53" i="7"/>
  <c r="F61" i="7"/>
  <c r="F69" i="7"/>
  <c r="F23" i="7"/>
  <c r="F31" i="7"/>
  <c r="F39" i="7"/>
  <c r="F47" i="7"/>
  <c r="F55" i="7"/>
  <c r="F63" i="7"/>
  <c r="F71" i="7"/>
  <c r="F24" i="7"/>
  <c r="F32" i="7"/>
  <c r="F40" i="7"/>
  <c r="F48" i="7"/>
  <c r="F56" i="7"/>
  <c r="F64" i="7"/>
  <c r="F59" i="7"/>
  <c r="F46" i="7"/>
  <c r="F34" i="7"/>
  <c r="F20" i="7"/>
  <c r="E26" i="7"/>
  <c r="E28" i="7"/>
  <c r="E58" i="7"/>
  <c r="E54" i="7"/>
  <c r="E38" i="7"/>
  <c r="E44" i="7"/>
  <c r="E24" i="7"/>
  <c r="E60" i="7"/>
  <c r="E70" i="7"/>
  <c r="E22" i="7"/>
  <c r="E40" i="7"/>
  <c r="E56" i="7"/>
  <c r="E36" i="7"/>
  <c r="E50" i="7"/>
  <c r="E66" i="7"/>
  <c r="E32" i="7"/>
  <c r="E48" i="7"/>
  <c r="E64" i="7"/>
  <c r="E20" i="7"/>
  <c r="E52" i="7"/>
  <c r="E68" i="7"/>
  <c r="E34" i="7"/>
  <c r="E30" i="7"/>
  <c r="E46" i="7"/>
  <c r="E62" i="7"/>
  <c r="E23" i="7"/>
  <c r="E27" i="7"/>
  <c r="E31" i="7"/>
  <c r="E35" i="7"/>
  <c r="E41" i="7"/>
  <c r="E45" i="7"/>
  <c r="E49" i="7"/>
  <c r="E53" i="7"/>
  <c r="E57" i="7"/>
  <c r="E61" i="7"/>
  <c r="E65" i="7"/>
  <c r="E71" i="7"/>
  <c r="E19" i="7"/>
  <c r="E21" i="7"/>
  <c r="E25" i="7"/>
  <c r="E29" i="7"/>
  <c r="E33" i="7"/>
  <c r="E37" i="7"/>
  <c r="E39" i="7"/>
  <c r="E43" i="7"/>
  <c r="E47" i="7"/>
  <c r="E51" i="7"/>
  <c r="E55" i="7"/>
  <c r="E59" i="7"/>
  <c r="E63" i="7"/>
  <c r="E67" i="7"/>
  <c r="E69" i="7"/>
  <c r="S65" i="6"/>
  <c r="S64" i="6"/>
  <c r="R65" i="6"/>
  <c r="R64" i="6"/>
  <c r="G7" i="7" l="1"/>
  <c r="G9" i="7"/>
  <c r="G6" i="7"/>
  <c r="G4" i="7"/>
  <c r="G11" i="7"/>
  <c r="G10" i="7"/>
  <c r="F12" i="7"/>
  <c r="G12" i="7"/>
  <c r="G5" i="7"/>
  <c r="F8" i="7"/>
  <c r="G8" i="7"/>
  <c r="S62" i="6" l="1"/>
  <c r="R62" i="6"/>
  <c r="Q62" i="6"/>
  <c r="P62" i="6"/>
  <c r="O62" i="6"/>
  <c r="N62" i="6"/>
  <c r="M62" i="6"/>
  <c r="L62" i="6"/>
  <c r="S61" i="6"/>
  <c r="R61" i="6"/>
  <c r="Q61" i="6"/>
  <c r="P61" i="6"/>
  <c r="O61" i="6"/>
  <c r="N61" i="6"/>
  <c r="M61" i="6"/>
  <c r="L61" i="6"/>
  <c r="S60" i="6"/>
  <c r="R60" i="6"/>
  <c r="K60" i="6"/>
  <c r="J60" i="6"/>
  <c r="S59" i="6"/>
  <c r="R59" i="6"/>
  <c r="K59" i="6"/>
  <c r="J59" i="6"/>
  <c r="S58" i="6"/>
  <c r="R58" i="6"/>
  <c r="K58" i="6"/>
  <c r="J58" i="6"/>
  <c r="S57" i="6"/>
  <c r="R57" i="6"/>
  <c r="K57" i="6"/>
  <c r="J57" i="6"/>
  <c r="S56" i="6"/>
  <c r="R56" i="6"/>
  <c r="K56" i="6"/>
  <c r="J56" i="6"/>
  <c r="S55" i="6"/>
  <c r="R55" i="6"/>
  <c r="K55" i="6"/>
  <c r="J55" i="6"/>
  <c r="S81" i="6"/>
  <c r="R81" i="6"/>
  <c r="Q81" i="6"/>
  <c r="P81" i="6"/>
  <c r="O81" i="6"/>
  <c r="N81" i="6"/>
  <c r="M81" i="6"/>
  <c r="L81" i="6"/>
  <c r="S80" i="6"/>
  <c r="R80" i="6"/>
  <c r="Q80" i="6"/>
  <c r="P80" i="6"/>
  <c r="O80" i="6"/>
  <c r="N80" i="6"/>
  <c r="M80" i="6"/>
  <c r="L80" i="6"/>
  <c r="S79" i="6"/>
  <c r="R79" i="6"/>
  <c r="Q79" i="6"/>
  <c r="P79" i="6"/>
  <c r="O79" i="6"/>
  <c r="N79" i="6"/>
  <c r="M79" i="6"/>
  <c r="L79" i="6"/>
  <c r="S78" i="6"/>
  <c r="R78" i="6"/>
  <c r="Q78" i="6"/>
  <c r="P78" i="6"/>
  <c r="O78" i="6"/>
  <c r="N78" i="6"/>
  <c r="M78" i="6"/>
  <c r="L78" i="6"/>
  <c r="S77" i="6"/>
  <c r="R77" i="6"/>
  <c r="Q77" i="6"/>
  <c r="P77" i="6"/>
  <c r="O77" i="6"/>
  <c r="N77" i="6"/>
  <c r="M77" i="6"/>
  <c r="L77" i="6"/>
  <c r="S76" i="6"/>
  <c r="R76" i="6"/>
  <c r="Q76" i="6"/>
  <c r="P76" i="6"/>
  <c r="O76" i="6"/>
  <c r="N76" i="6"/>
  <c r="M76" i="6"/>
  <c r="L76" i="6"/>
  <c r="S75" i="6"/>
  <c r="R75" i="6"/>
  <c r="Q75" i="6"/>
  <c r="P75" i="6"/>
  <c r="O75" i="6"/>
  <c r="N75" i="6"/>
  <c r="M75" i="6"/>
  <c r="L75" i="6"/>
  <c r="S74" i="6"/>
  <c r="R74" i="6"/>
  <c r="Q74" i="6"/>
  <c r="P74" i="6"/>
  <c r="O74" i="6"/>
  <c r="N74" i="6"/>
  <c r="M74" i="6"/>
  <c r="L74" i="6"/>
  <c r="S73" i="6"/>
  <c r="R73" i="6"/>
  <c r="Q73" i="6"/>
  <c r="P73" i="6"/>
  <c r="O73" i="6"/>
  <c r="N73" i="6"/>
  <c r="M73" i="6"/>
  <c r="L73" i="6"/>
  <c r="S72" i="6"/>
  <c r="R72" i="6"/>
  <c r="Q72" i="6"/>
  <c r="P72" i="6"/>
  <c r="O72" i="6"/>
  <c r="N72" i="6"/>
  <c r="M72" i="6"/>
  <c r="L72" i="6"/>
  <c r="S71" i="6"/>
  <c r="R71" i="6"/>
  <c r="Q71" i="6"/>
  <c r="P71" i="6"/>
  <c r="O71" i="6"/>
  <c r="N71" i="6"/>
  <c r="M71" i="6"/>
  <c r="L71" i="6"/>
  <c r="S70" i="6"/>
  <c r="R70" i="6"/>
  <c r="Q70" i="6"/>
  <c r="P70" i="6"/>
  <c r="O70" i="6"/>
  <c r="N70" i="6"/>
  <c r="M70" i="6"/>
  <c r="L70" i="6"/>
  <c r="S69" i="6"/>
  <c r="R69" i="6"/>
  <c r="K69" i="6"/>
  <c r="J69" i="6"/>
  <c r="S68" i="6"/>
  <c r="R68" i="6"/>
  <c r="K68" i="6"/>
  <c r="J68" i="6"/>
  <c r="S67" i="6"/>
  <c r="R67" i="6"/>
  <c r="K67" i="6"/>
  <c r="J67" i="6"/>
  <c r="S66" i="6"/>
  <c r="R66" i="6"/>
  <c r="K66" i="6"/>
  <c r="J66" i="6"/>
  <c r="K65" i="6"/>
  <c r="J65" i="6"/>
  <c r="K64" i="6"/>
  <c r="J64" i="6"/>
  <c r="S100" i="6"/>
  <c r="R100" i="6"/>
  <c r="Q100" i="6"/>
  <c r="P100" i="6"/>
  <c r="O100" i="6"/>
  <c r="N100" i="6"/>
  <c r="M100" i="6"/>
  <c r="L100" i="6"/>
  <c r="S99" i="6"/>
  <c r="R99" i="6"/>
  <c r="Q99" i="6"/>
  <c r="P99" i="6"/>
  <c r="O99" i="6"/>
  <c r="N99" i="6"/>
  <c r="M99" i="6"/>
  <c r="L99" i="6"/>
  <c r="S98" i="6"/>
  <c r="R98" i="6"/>
  <c r="Q98" i="6"/>
  <c r="P98" i="6"/>
  <c r="O98" i="6"/>
  <c r="N98" i="6"/>
  <c r="M98" i="6"/>
  <c r="L98" i="6"/>
  <c r="S97" i="6"/>
  <c r="R97" i="6"/>
  <c r="Q97" i="6"/>
  <c r="P97" i="6"/>
  <c r="O97" i="6"/>
  <c r="N97" i="6"/>
  <c r="M97" i="6"/>
  <c r="L97" i="6"/>
  <c r="S96" i="6"/>
  <c r="R96" i="6"/>
  <c r="Q96" i="6"/>
  <c r="P96" i="6"/>
  <c r="O96" i="6"/>
  <c r="N96" i="6"/>
  <c r="M96" i="6"/>
  <c r="L96" i="6"/>
  <c r="S95" i="6"/>
  <c r="R95" i="6"/>
  <c r="Q95" i="6"/>
  <c r="P95" i="6"/>
  <c r="O95" i="6"/>
  <c r="N95" i="6"/>
  <c r="M95" i="6"/>
  <c r="L95" i="6"/>
  <c r="S94" i="6"/>
  <c r="R94" i="6"/>
  <c r="Q94" i="6"/>
  <c r="P94" i="6"/>
  <c r="O94" i="6"/>
  <c r="N94" i="6"/>
  <c r="M94" i="6"/>
  <c r="L94" i="6"/>
  <c r="S93" i="6"/>
  <c r="R93" i="6"/>
  <c r="Q93" i="6"/>
  <c r="P93" i="6"/>
  <c r="O93" i="6"/>
  <c r="N93" i="6"/>
  <c r="M93" i="6"/>
  <c r="L93" i="6"/>
  <c r="S92" i="6"/>
  <c r="R92" i="6"/>
  <c r="Q92" i="6"/>
  <c r="P92" i="6"/>
  <c r="O92" i="6"/>
  <c r="N92" i="6"/>
  <c r="M92" i="6"/>
  <c r="L92" i="6"/>
  <c r="S91" i="6"/>
  <c r="R91" i="6"/>
  <c r="Q91" i="6"/>
  <c r="P91" i="6"/>
  <c r="O91" i="6"/>
  <c r="N91" i="6"/>
  <c r="M91" i="6"/>
  <c r="L91" i="6"/>
  <c r="S90" i="6"/>
  <c r="R90" i="6"/>
  <c r="Q90" i="6"/>
  <c r="P90" i="6"/>
  <c r="O90" i="6"/>
  <c r="N90" i="6"/>
  <c r="M90" i="6"/>
  <c r="L90" i="6"/>
  <c r="S89" i="6"/>
  <c r="R89" i="6"/>
  <c r="Q89" i="6"/>
  <c r="P89" i="6"/>
  <c r="O89" i="6"/>
  <c r="N89" i="6"/>
  <c r="M89" i="6"/>
  <c r="L89" i="6"/>
  <c r="S88" i="6"/>
  <c r="R88" i="6"/>
  <c r="K88" i="6"/>
  <c r="J88" i="6"/>
  <c r="S87" i="6"/>
  <c r="R87" i="6"/>
  <c r="K87" i="6"/>
  <c r="J87" i="6"/>
  <c r="S86" i="6"/>
  <c r="R86" i="6"/>
  <c r="K86" i="6"/>
  <c r="J86" i="6"/>
  <c r="S85" i="6"/>
  <c r="R85" i="6"/>
  <c r="K85" i="6"/>
  <c r="J85" i="6"/>
  <c r="S84" i="6"/>
  <c r="R84" i="6"/>
  <c r="K84" i="6"/>
  <c r="J84" i="6"/>
  <c r="S83" i="6"/>
  <c r="R83" i="6"/>
  <c r="K83" i="6"/>
  <c r="J83" i="6"/>
  <c r="J40" i="6"/>
  <c r="K40" i="6"/>
  <c r="L40" i="6"/>
  <c r="M40" i="6"/>
  <c r="N40" i="6"/>
  <c r="O40" i="6"/>
  <c r="J41" i="6"/>
  <c r="K41" i="6"/>
  <c r="L41" i="6"/>
  <c r="M41" i="6"/>
  <c r="N41" i="6"/>
  <c r="O41" i="6"/>
  <c r="J42" i="6"/>
  <c r="K42" i="6"/>
  <c r="L42" i="6"/>
  <c r="M42" i="6"/>
  <c r="N42" i="6"/>
  <c r="O42" i="6"/>
  <c r="J43" i="6"/>
  <c r="K43" i="6"/>
  <c r="L43" i="6"/>
  <c r="M43" i="6"/>
  <c r="N43" i="6"/>
  <c r="O43" i="6"/>
  <c r="J44" i="6"/>
  <c r="K44" i="6"/>
  <c r="L44" i="6"/>
  <c r="M44" i="6"/>
  <c r="N44" i="6"/>
  <c r="O44" i="6"/>
  <c r="J45" i="6"/>
  <c r="K45" i="6"/>
  <c r="L45" i="6"/>
  <c r="M45" i="6"/>
  <c r="N45" i="6"/>
  <c r="O45" i="6"/>
  <c r="J46" i="6"/>
  <c r="K46" i="6"/>
  <c r="L46" i="6"/>
  <c r="M46" i="6"/>
  <c r="N46" i="6"/>
  <c r="O46" i="6"/>
  <c r="J47" i="6"/>
  <c r="K47" i="6"/>
  <c r="L47" i="6"/>
  <c r="M47" i="6"/>
  <c r="N47" i="6"/>
  <c r="O47" i="6"/>
  <c r="J48" i="6"/>
  <c r="K48" i="6"/>
  <c r="L48" i="6"/>
  <c r="M48" i="6"/>
  <c r="N48" i="6"/>
  <c r="O48" i="6"/>
  <c r="J49" i="6"/>
  <c r="K49" i="6"/>
  <c r="L49" i="6"/>
  <c r="M49" i="6"/>
  <c r="N49" i="6"/>
  <c r="O49" i="6"/>
  <c r="J19" i="6"/>
  <c r="K19" i="6"/>
  <c r="L19" i="6"/>
  <c r="M19" i="6"/>
  <c r="N19" i="6"/>
  <c r="O19" i="6"/>
  <c r="J20" i="6"/>
  <c r="K20" i="6"/>
  <c r="L20" i="6"/>
  <c r="M20" i="6"/>
  <c r="N20" i="6"/>
  <c r="O20" i="6"/>
  <c r="J21" i="6"/>
  <c r="K21" i="6"/>
  <c r="L21" i="6"/>
  <c r="M21" i="6"/>
  <c r="N21" i="6"/>
  <c r="O21" i="6"/>
  <c r="J22" i="6"/>
  <c r="K22" i="6"/>
  <c r="L22" i="6"/>
  <c r="M22" i="6"/>
  <c r="N22" i="6"/>
  <c r="O22" i="6"/>
  <c r="J23" i="6"/>
  <c r="K23" i="6"/>
  <c r="L23" i="6"/>
  <c r="M23" i="6"/>
  <c r="N23" i="6"/>
  <c r="O23" i="6"/>
  <c r="J24" i="6"/>
  <c r="K24" i="6"/>
  <c r="L24" i="6"/>
  <c r="M24" i="6"/>
  <c r="N24" i="6"/>
  <c r="O24" i="6"/>
  <c r="J25" i="6"/>
  <c r="K25" i="6"/>
  <c r="L25" i="6"/>
  <c r="M25" i="6"/>
  <c r="N25" i="6"/>
  <c r="O25" i="6"/>
  <c r="J26" i="6"/>
  <c r="K26" i="6"/>
  <c r="L26" i="6"/>
  <c r="M26" i="6"/>
  <c r="N26" i="6"/>
  <c r="O26" i="6"/>
  <c r="J27" i="6"/>
  <c r="K27" i="6"/>
  <c r="L27" i="6"/>
  <c r="M27" i="6"/>
  <c r="N27" i="6"/>
  <c r="O27" i="6"/>
  <c r="J29" i="6"/>
  <c r="K29" i="6"/>
  <c r="L29" i="6"/>
  <c r="M29" i="6"/>
  <c r="N29" i="6"/>
  <c r="O29" i="6"/>
  <c r="J30" i="6"/>
  <c r="K30" i="6"/>
  <c r="L30" i="6"/>
  <c r="M30" i="6"/>
  <c r="N30" i="6"/>
  <c r="O30" i="6"/>
  <c r="J31" i="6"/>
  <c r="K31" i="6"/>
  <c r="L31" i="6"/>
  <c r="M31" i="6"/>
  <c r="N31" i="6"/>
  <c r="O31" i="6"/>
  <c r="J32" i="6"/>
  <c r="K32" i="6"/>
  <c r="L32" i="6"/>
  <c r="M32" i="6"/>
  <c r="N32" i="6"/>
  <c r="O32" i="6"/>
  <c r="J33" i="6"/>
  <c r="K33" i="6"/>
  <c r="L33" i="6"/>
  <c r="M33" i="6"/>
  <c r="N33" i="6"/>
  <c r="O33" i="6"/>
  <c r="J34" i="6"/>
  <c r="K34" i="6"/>
  <c r="L34" i="6"/>
  <c r="M34" i="6"/>
  <c r="N34" i="6"/>
  <c r="O34" i="6"/>
  <c r="J35" i="6"/>
  <c r="K35" i="6"/>
  <c r="L35" i="6"/>
  <c r="M35" i="6"/>
  <c r="N35" i="6"/>
  <c r="O35" i="6"/>
  <c r="J36" i="6"/>
  <c r="K36" i="6"/>
  <c r="L36" i="6"/>
  <c r="M36" i="6"/>
  <c r="N36" i="6"/>
  <c r="O36" i="6"/>
  <c r="J37" i="6"/>
  <c r="K37" i="6"/>
  <c r="L37" i="6"/>
  <c r="M37" i="6"/>
  <c r="N37" i="6"/>
  <c r="O37" i="6"/>
  <c r="J38" i="6"/>
  <c r="K38" i="6"/>
  <c r="L38" i="6"/>
  <c r="M38" i="6"/>
  <c r="N38" i="6"/>
  <c r="O38" i="6"/>
  <c r="J10" i="6"/>
  <c r="K10" i="6"/>
  <c r="L10" i="6"/>
  <c r="M10" i="6"/>
  <c r="N10" i="6"/>
  <c r="O10" i="6"/>
  <c r="J11" i="6"/>
  <c r="K11" i="6"/>
  <c r="L11" i="6"/>
  <c r="M11" i="6"/>
  <c r="N11" i="6"/>
  <c r="O11" i="6"/>
  <c r="J12" i="6"/>
  <c r="K12" i="6"/>
  <c r="L12" i="6"/>
  <c r="M12" i="6"/>
  <c r="N12" i="6"/>
  <c r="O12" i="6"/>
  <c r="J13" i="6"/>
  <c r="K13" i="6"/>
  <c r="L13" i="6"/>
  <c r="M13" i="6"/>
  <c r="N13" i="6"/>
  <c r="O13" i="6"/>
  <c r="J14" i="6"/>
  <c r="K14" i="6"/>
  <c r="L14" i="6"/>
  <c r="M14" i="6"/>
  <c r="N14" i="6"/>
  <c r="O14" i="6"/>
  <c r="J15" i="6"/>
  <c r="K15" i="6"/>
  <c r="L15" i="6"/>
  <c r="M15" i="6"/>
  <c r="N15" i="6"/>
  <c r="O15" i="6"/>
  <c r="J16" i="6"/>
  <c r="K16" i="6"/>
  <c r="L16" i="6"/>
  <c r="M16" i="6"/>
  <c r="N16" i="6"/>
  <c r="O16" i="6"/>
  <c r="J17" i="6"/>
  <c r="K17" i="6"/>
  <c r="L17" i="6"/>
  <c r="M17" i="6"/>
  <c r="N17" i="6"/>
  <c r="O17" i="6"/>
  <c r="E83" i="6" l="1"/>
  <c r="E62" i="6" l="1"/>
  <c r="E61" i="6"/>
  <c r="E60" i="6"/>
  <c r="E59" i="6"/>
  <c r="E58" i="6"/>
  <c r="E57" i="6"/>
  <c r="E56" i="6"/>
  <c r="E55" i="6"/>
  <c r="G58" i="6" l="1"/>
  <c r="I58" i="6" s="1"/>
  <c r="G60" i="6"/>
  <c r="I60" i="6" s="1"/>
  <c r="G56" i="6"/>
  <c r="I56" i="6" s="1"/>
  <c r="G61" i="6"/>
  <c r="I61" i="6" s="1"/>
  <c r="E99" i="6" l="1"/>
  <c r="G99" i="6" s="1"/>
  <c r="I99" i="6" s="1"/>
  <c r="E98" i="6"/>
  <c r="F98" i="6" s="1"/>
  <c r="E96" i="6"/>
  <c r="G96" i="6" s="1"/>
  <c r="I96" i="6" s="1"/>
  <c r="E94" i="6"/>
  <c r="G94" i="6" s="1"/>
  <c r="I94" i="6" s="1"/>
  <c r="E92" i="6"/>
  <c r="G92" i="6" s="1"/>
  <c r="I92" i="6" s="1"/>
  <c r="E90" i="6"/>
  <c r="F90" i="6" s="1"/>
  <c r="E88" i="6"/>
  <c r="F88" i="6" s="1"/>
  <c r="E86" i="6"/>
  <c r="G86" i="6" s="1"/>
  <c r="I86" i="6" s="1"/>
  <c r="E84" i="6"/>
  <c r="G84" i="6" s="1"/>
  <c r="I84" i="6" s="1"/>
  <c r="E80" i="6"/>
  <c r="G80" i="6" s="1"/>
  <c r="I80" i="6" s="1"/>
  <c r="E79" i="6"/>
  <c r="G79" i="6" s="1"/>
  <c r="I79" i="6" s="1"/>
  <c r="E77" i="6"/>
  <c r="G77" i="6" s="1"/>
  <c r="I77" i="6" s="1"/>
  <c r="E75" i="6"/>
  <c r="G75" i="6" s="1"/>
  <c r="I75" i="6" s="1"/>
  <c r="E73" i="6"/>
  <c r="G73" i="6" s="1"/>
  <c r="I73" i="6" s="1"/>
  <c r="E71" i="6"/>
  <c r="G71" i="6" s="1"/>
  <c r="I71" i="6" s="1"/>
  <c r="E69" i="6"/>
  <c r="G69" i="6" s="1"/>
  <c r="I69" i="6" s="1"/>
  <c r="E67" i="6"/>
  <c r="G67" i="6" s="1"/>
  <c r="I67" i="6" s="1"/>
  <c r="E65" i="6"/>
  <c r="G65" i="6" s="1"/>
  <c r="I65" i="6" s="1"/>
  <c r="E100" i="6"/>
  <c r="G100" i="6" s="1"/>
  <c r="I100" i="6" s="1"/>
  <c r="E97" i="6"/>
  <c r="G97" i="6" s="1"/>
  <c r="I97" i="6" s="1"/>
  <c r="E95" i="6"/>
  <c r="G95" i="6" s="1"/>
  <c r="I95" i="6" s="1"/>
  <c r="E93" i="6"/>
  <c r="F93" i="6" s="1"/>
  <c r="E91" i="6"/>
  <c r="G91" i="6" s="1"/>
  <c r="I91" i="6" s="1"/>
  <c r="E89" i="6"/>
  <c r="G89" i="6" s="1"/>
  <c r="I89" i="6" s="1"/>
  <c r="E87" i="6"/>
  <c r="G87" i="6" s="1"/>
  <c r="I87" i="6" s="1"/>
  <c r="E85" i="6"/>
  <c r="F85" i="6" s="1"/>
  <c r="G83" i="6"/>
  <c r="I83" i="6" s="1"/>
  <c r="E82" i="6"/>
  <c r="F82" i="6" s="1"/>
  <c r="E81" i="6"/>
  <c r="F81" i="6" s="1"/>
  <c r="E78" i="6"/>
  <c r="G78" i="6" s="1"/>
  <c r="I78" i="6" s="1"/>
  <c r="E76" i="6"/>
  <c r="F76" i="6" s="1"/>
  <c r="E74" i="6"/>
  <c r="G74" i="6" s="1"/>
  <c r="I74" i="6" s="1"/>
  <c r="E72" i="6"/>
  <c r="F72" i="6" s="1"/>
  <c r="E70" i="6"/>
  <c r="G70" i="6" s="1"/>
  <c r="I70" i="6" s="1"/>
  <c r="E68" i="6"/>
  <c r="G68" i="6" s="1"/>
  <c r="I68" i="6" s="1"/>
  <c r="E66" i="6"/>
  <c r="G66" i="6" s="1"/>
  <c r="I66" i="6" s="1"/>
  <c r="E64" i="6"/>
  <c r="G64" i="6" s="1"/>
  <c r="I64" i="6" s="1"/>
  <c r="E63" i="6"/>
  <c r="F63" i="6" s="1"/>
  <c r="F62" i="6"/>
  <c r="G59" i="6"/>
  <c r="I59" i="6" s="1"/>
  <c r="G57" i="6"/>
  <c r="I57" i="6" s="1"/>
  <c r="G55" i="6"/>
  <c r="I55" i="6" s="1"/>
  <c r="E49" i="6"/>
  <c r="G49" i="6" s="1"/>
  <c r="I49" i="6" s="1"/>
  <c r="E48" i="6"/>
  <c r="G48" i="6" s="1"/>
  <c r="I48" i="6" s="1"/>
  <c r="E47" i="6"/>
  <c r="G47" i="6" s="1"/>
  <c r="I47" i="6" s="1"/>
  <c r="E46" i="6"/>
  <c r="G46" i="6" s="1"/>
  <c r="I46" i="6" s="1"/>
  <c r="E45" i="6"/>
  <c r="G45" i="6" s="1"/>
  <c r="I45" i="6" s="1"/>
  <c r="E44" i="6"/>
  <c r="F44" i="6" s="1"/>
  <c r="E43" i="6"/>
  <c r="G43" i="6" s="1"/>
  <c r="I43" i="6" s="1"/>
  <c r="E42" i="6"/>
  <c r="F42" i="6" s="1"/>
  <c r="E41" i="6"/>
  <c r="G41" i="6" s="1"/>
  <c r="I41" i="6" s="1"/>
  <c r="E40" i="6"/>
  <c r="F40" i="6" s="1"/>
  <c r="E38" i="6"/>
  <c r="G38" i="6" s="1"/>
  <c r="I38" i="6" s="1"/>
  <c r="E37" i="6"/>
  <c r="G37" i="6" s="1"/>
  <c r="I37" i="6" s="1"/>
  <c r="E36" i="6"/>
  <c r="G36" i="6" s="1"/>
  <c r="I36" i="6" s="1"/>
  <c r="E35" i="6"/>
  <c r="F35" i="6" s="1"/>
  <c r="E34" i="6"/>
  <c r="G34" i="6" s="1"/>
  <c r="I34" i="6" s="1"/>
  <c r="E33" i="6"/>
  <c r="G33" i="6" s="1"/>
  <c r="I33" i="6" s="1"/>
  <c r="E32" i="6"/>
  <c r="F32" i="6" s="1"/>
  <c r="E31" i="6"/>
  <c r="G31" i="6" s="1"/>
  <c r="I31" i="6" s="1"/>
  <c r="E30" i="6"/>
  <c r="G30" i="6" s="1"/>
  <c r="I30" i="6" s="1"/>
  <c r="E29" i="6"/>
  <c r="G29" i="6" s="1"/>
  <c r="I29" i="6" s="1"/>
  <c r="E27" i="6"/>
  <c r="F27" i="6" s="1"/>
  <c r="E26" i="6"/>
  <c r="G26" i="6" s="1"/>
  <c r="I26" i="6" s="1"/>
  <c r="E25" i="6"/>
  <c r="G25" i="6" s="1"/>
  <c r="I25" i="6" s="1"/>
  <c r="E24" i="6"/>
  <c r="G24" i="6" s="1"/>
  <c r="I24" i="6" s="1"/>
  <c r="E23" i="6"/>
  <c r="G23" i="6" s="1"/>
  <c r="I23" i="6" s="1"/>
  <c r="E22" i="6"/>
  <c r="F22" i="6" s="1"/>
  <c r="E21" i="6"/>
  <c r="G21" i="6" s="1"/>
  <c r="I21" i="6" s="1"/>
  <c r="E20" i="6"/>
  <c r="F20" i="6" s="1"/>
  <c r="E19" i="6"/>
  <c r="G19" i="6" s="1"/>
  <c r="I19" i="6" s="1"/>
  <c r="E17" i="6"/>
  <c r="F17" i="6" s="1"/>
  <c r="E16" i="6"/>
  <c r="G16" i="6" s="1"/>
  <c r="I16" i="6" s="1"/>
  <c r="E15" i="6"/>
  <c r="G15" i="6" s="1"/>
  <c r="I15" i="6" s="1"/>
  <c r="E14" i="6"/>
  <c r="G14" i="6" s="1"/>
  <c r="I14" i="6" s="1"/>
  <c r="E13" i="6"/>
  <c r="G13" i="6" s="1"/>
  <c r="I13" i="6" s="1"/>
  <c r="E12" i="6"/>
  <c r="F12" i="6" s="1"/>
  <c r="E11" i="6"/>
  <c r="G11" i="6" s="1"/>
  <c r="I11" i="6" s="1"/>
  <c r="E10" i="6"/>
  <c r="G10" i="6" s="1"/>
  <c r="I10" i="6" s="1"/>
  <c r="G163" i="5"/>
  <c r="F163" i="5"/>
  <c r="E163" i="5"/>
  <c r="D163" i="5"/>
  <c r="G162" i="5"/>
  <c r="F162" i="5"/>
  <c r="E162" i="5"/>
  <c r="D162" i="5"/>
  <c r="G161" i="5"/>
  <c r="F161" i="5"/>
  <c r="E161" i="5"/>
  <c r="D161" i="5"/>
  <c r="G160" i="5"/>
  <c r="F160" i="5"/>
  <c r="E160" i="5"/>
  <c r="D160" i="5"/>
  <c r="G159" i="5"/>
  <c r="F159" i="5"/>
  <c r="E159" i="5"/>
  <c r="D159" i="5"/>
  <c r="G158" i="5"/>
  <c r="F158" i="5"/>
  <c r="E158" i="5"/>
  <c r="D158" i="5"/>
  <c r="G157" i="5"/>
  <c r="F157" i="5"/>
  <c r="E157" i="5"/>
  <c r="D157" i="5"/>
  <c r="G156" i="5"/>
  <c r="F156" i="5"/>
  <c r="E156" i="5"/>
  <c r="D156" i="5"/>
  <c r="G155" i="5"/>
  <c r="F155" i="5"/>
  <c r="E155" i="5"/>
  <c r="D155" i="5"/>
  <c r="G154" i="5"/>
  <c r="F154" i="5"/>
  <c r="E154" i="5"/>
  <c r="D154" i="5"/>
  <c r="G153" i="5"/>
  <c r="F153" i="5"/>
  <c r="E153" i="5"/>
  <c r="D153" i="5"/>
  <c r="G152" i="5"/>
  <c r="F152" i="5"/>
  <c r="E152" i="5"/>
  <c r="D152" i="5"/>
  <c r="G151" i="5"/>
  <c r="F151" i="5"/>
  <c r="E151" i="5"/>
  <c r="D151" i="5"/>
  <c r="G150" i="5"/>
  <c r="F150" i="5"/>
  <c r="E150" i="5"/>
  <c r="D150" i="5"/>
  <c r="G149" i="5"/>
  <c r="F149" i="5"/>
  <c r="E149" i="5"/>
  <c r="D149" i="5"/>
  <c r="G148" i="5"/>
  <c r="F148" i="5"/>
  <c r="E148" i="5"/>
  <c r="D148" i="5"/>
  <c r="G147" i="5"/>
  <c r="F147" i="5"/>
  <c r="E147" i="5"/>
  <c r="D147" i="5"/>
  <c r="G146" i="5"/>
  <c r="F146" i="5"/>
  <c r="E146" i="5"/>
  <c r="D146" i="5"/>
  <c r="G145" i="5"/>
  <c r="F145" i="5"/>
  <c r="E145" i="5"/>
  <c r="D145" i="5"/>
  <c r="G144" i="5"/>
  <c r="F144" i="5"/>
  <c r="E144" i="5"/>
  <c r="D144" i="5"/>
  <c r="G143" i="5"/>
  <c r="F143" i="5"/>
  <c r="E143" i="5"/>
  <c r="D143" i="5"/>
  <c r="G142" i="5"/>
  <c r="F142" i="5"/>
  <c r="E142" i="5"/>
  <c r="D142" i="5"/>
  <c r="G141" i="5"/>
  <c r="F141" i="5"/>
  <c r="E141" i="5"/>
  <c r="D141" i="5"/>
  <c r="G140" i="5"/>
  <c r="F140" i="5"/>
  <c r="E140" i="5"/>
  <c r="D140" i="5"/>
  <c r="G139" i="5"/>
  <c r="F139" i="5"/>
  <c r="E139" i="5"/>
  <c r="D139" i="5"/>
  <c r="G138" i="5"/>
  <c r="F138" i="5"/>
  <c r="E138" i="5"/>
  <c r="D138" i="5"/>
  <c r="G137" i="5"/>
  <c r="F137" i="5"/>
  <c r="E137" i="5"/>
  <c r="D137" i="5"/>
  <c r="G136" i="5"/>
  <c r="F136" i="5"/>
  <c r="E136" i="5"/>
  <c r="D136" i="5"/>
  <c r="G135" i="5"/>
  <c r="F135" i="5"/>
  <c r="E135" i="5"/>
  <c r="D135" i="5"/>
  <c r="G134" i="5"/>
  <c r="F134" i="5"/>
  <c r="E134" i="5"/>
  <c r="D134" i="5"/>
  <c r="G133" i="5"/>
  <c r="F133" i="5"/>
  <c r="E133" i="5"/>
  <c r="D133" i="5"/>
  <c r="G132" i="5"/>
  <c r="F132" i="5"/>
  <c r="E132" i="5"/>
  <c r="D132" i="5"/>
  <c r="G131" i="5"/>
  <c r="F131" i="5"/>
  <c r="E131" i="5"/>
  <c r="D131" i="5"/>
  <c r="G130" i="5"/>
  <c r="F130" i="5"/>
  <c r="E130" i="5"/>
  <c r="D130" i="5"/>
  <c r="G129" i="5"/>
  <c r="F129" i="5"/>
  <c r="E129" i="5"/>
  <c r="D129" i="5"/>
  <c r="G128" i="5"/>
  <c r="F128" i="5"/>
  <c r="E128" i="5"/>
  <c r="D128" i="5"/>
  <c r="G127" i="5"/>
  <c r="F127" i="5"/>
  <c r="E127" i="5"/>
  <c r="D127" i="5"/>
  <c r="G126" i="5"/>
  <c r="F126" i="5"/>
  <c r="E126" i="5"/>
  <c r="D126" i="5"/>
  <c r="G125" i="5"/>
  <c r="F125" i="5"/>
  <c r="E125" i="5"/>
  <c r="D125" i="5"/>
  <c r="G124" i="5"/>
  <c r="F124" i="5"/>
  <c r="E124" i="5"/>
  <c r="D124" i="5"/>
  <c r="G123" i="5"/>
  <c r="F123" i="5"/>
  <c r="E123" i="5"/>
  <c r="D123" i="5"/>
  <c r="G122" i="5"/>
  <c r="F122" i="5"/>
  <c r="E122" i="5"/>
  <c r="D122" i="5"/>
  <c r="G121" i="5"/>
  <c r="F121" i="5"/>
  <c r="E121" i="5"/>
  <c r="D121" i="5"/>
  <c r="G120" i="5"/>
  <c r="F120" i="5"/>
  <c r="E120" i="5"/>
  <c r="D120" i="5"/>
  <c r="G119" i="5"/>
  <c r="F119" i="5"/>
  <c r="E119" i="5"/>
  <c r="D119" i="5"/>
  <c r="G118" i="5"/>
  <c r="F118" i="5"/>
  <c r="E118" i="5"/>
  <c r="D118" i="5"/>
  <c r="G117" i="5"/>
  <c r="F117" i="5"/>
  <c r="E117" i="5"/>
  <c r="D117" i="5"/>
  <c r="G116" i="5"/>
  <c r="F116" i="5"/>
  <c r="E116" i="5"/>
  <c r="D116" i="5"/>
  <c r="G115" i="5"/>
  <c r="F115" i="5"/>
  <c r="E115" i="5"/>
  <c r="D115" i="5"/>
  <c r="G114" i="5"/>
  <c r="F114" i="5"/>
  <c r="E114" i="5"/>
  <c r="D114" i="5"/>
  <c r="G113" i="5"/>
  <c r="F113" i="5"/>
  <c r="E113" i="5"/>
  <c r="D113" i="5"/>
  <c r="G112" i="5"/>
  <c r="F112" i="5"/>
  <c r="E112" i="5"/>
  <c r="D112" i="5"/>
  <c r="G111" i="5"/>
  <c r="F111" i="5"/>
  <c r="E111" i="5"/>
  <c r="D111" i="5"/>
  <c r="G110" i="5"/>
  <c r="F110" i="5"/>
  <c r="E110" i="5"/>
  <c r="D110" i="5"/>
  <c r="G109" i="5"/>
  <c r="F109" i="5"/>
  <c r="E109" i="5"/>
  <c r="D109" i="5"/>
  <c r="G108" i="5"/>
  <c r="F108" i="5"/>
  <c r="E108" i="5"/>
  <c r="D108" i="5"/>
  <c r="G107" i="5"/>
  <c r="F107" i="5"/>
  <c r="E107" i="5"/>
  <c r="D107" i="5"/>
  <c r="G106" i="5"/>
  <c r="F106" i="5"/>
  <c r="E106" i="5"/>
  <c r="D106" i="5"/>
  <c r="G105" i="5"/>
  <c r="F105" i="5"/>
  <c r="E105" i="5"/>
  <c r="D105" i="5"/>
  <c r="G104" i="5"/>
  <c r="F104" i="5"/>
  <c r="E104" i="5"/>
  <c r="D104" i="5"/>
  <c r="G103" i="5"/>
  <c r="F103" i="5"/>
  <c r="E103" i="5"/>
  <c r="D103" i="5"/>
  <c r="G102" i="5"/>
  <c r="F102" i="5"/>
  <c r="E102" i="5"/>
  <c r="D102" i="5"/>
  <c r="G101" i="5"/>
  <c r="F101" i="5"/>
  <c r="E101" i="5"/>
  <c r="D101" i="5"/>
  <c r="G100" i="5"/>
  <c r="F100" i="5"/>
  <c r="E100" i="5"/>
  <c r="D100" i="5"/>
  <c r="G99" i="5"/>
  <c r="F99" i="5"/>
  <c r="E99" i="5"/>
  <c r="D99" i="5"/>
  <c r="G98" i="5"/>
  <c r="F98" i="5"/>
  <c r="E98" i="5"/>
  <c r="D98" i="5"/>
  <c r="G97" i="5"/>
  <c r="F97" i="5"/>
  <c r="E97" i="5"/>
  <c r="D97" i="5"/>
  <c r="G96" i="5"/>
  <c r="F96" i="5"/>
  <c r="E96" i="5"/>
  <c r="D96" i="5"/>
  <c r="G95" i="5"/>
  <c r="F95" i="5"/>
  <c r="E95" i="5"/>
  <c r="D95" i="5"/>
  <c r="G94" i="5"/>
  <c r="F94" i="5"/>
  <c r="E94" i="5"/>
  <c r="D94" i="5"/>
  <c r="G93" i="5"/>
  <c r="F93" i="5"/>
  <c r="E93" i="5"/>
  <c r="D93" i="5"/>
  <c r="G92" i="5"/>
  <c r="F92" i="5"/>
  <c r="E92" i="5"/>
  <c r="D92" i="5"/>
  <c r="G91" i="5"/>
  <c r="F91" i="5"/>
  <c r="E91" i="5"/>
  <c r="D91" i="5"/>
  <c r="G90" i="5"/>
  <c r="F90" i="5"/>
  <c r="E90" i="5"/>
  <c r="D90" i="5"/>
  <c r="G89" i="5"/>
  <c r="F89" i="5"/>
  <c r="E89" i="5"/>
  <c r="D89" i="5"/>
  <c r="G88" i="5"/>
  <c r="F88" i="5"/>
  <c r="E88" i="5"/>
  <c r="D88" i="5"/>
  <c r="G87" i="5"/>
  <c r="F87" i="5"/>
  <c r="E87" i="5"/>
  <c r="D87" i="5"/>
  <c r="G86" i="5"/>
  <c r="F86" i="5"/>
  <c r="E86" i="5"/>
  <c r="D86" i="5"/>
  <c r="G85" i="5"/>
  <c r="F85" i="5"/>
  <c r="E85" i="5"/>
  <c r="D85" i="5"/>
  <c r="G84" i="5"/>
  <c r="F84" i="5"/>
  <c r="E84" i="5"/>
  <c r="D84" i="5"/>
  <c r="G83" i="5"/>
  <c r="F83" i="5"/>
  <c r="E83" i="5"/>
  <c r="D83" i="5"/>
  <c r="G82" i="5"/>
  <c r="F82" i="5"/>
  <c r="E82" i="5"/>
  <c r="D82" i="5"/>
  <c r="G81" i="5"/>
  <c r="F81" i="5"/>
  <c r="E81" i="5"/>
  <c r="D81" i="5"/>
  <c r="G80" i="5"/>
  <c r="F80" i="5"/>
  <c r="E80" i="5"/>
  <c r="D80" i="5"/>
  <c r="G79" i="5"/>
  <c r="F79" i="5"/>
  <c r="E79" i="5"/>
  <c r="D79" i="5"/>
  <c r="G78" i="5"/>
  <c r="F78" i="5"/>
  <c r="E78" i="5"/>
  <c r="D78" i="5"/>
  <c r="G77" i="5"/>
  <c r="F77" i="5"/>
  <c r="E77" i="5"/>
  <c r="D77" i="5"/>
  <c r="G76" i="5"/>
  <c r="F76" i="5"/>
  <c r="E76" i="5"/>
  <c r="D76" i="5"/>
  <c r="G75" i="5"/>
  <c r="F75" i="5"/>
  <c r="E75" i="5"/>
  <c r="D75" i="5"/>
  <c r="G74" i="5"/>
  <c r="F74" i="5"/>
  <c r="E74" i="5"/>
  <c r="D74" i="5"/>
  <c r="G73" i="5"/>
  <c r="F73" i="5"/>
  <c r="E73" i="5"/>
  <c r="D73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7" i="5"/>
  <c r="F67" i="5"/>
  <c r="E67" i="5"/>
  <c r="D67" i="5"/>
  <c r="G66" i="5"/>
  <c r="F66" i="5"/>
  <c r="E66" i="5"/>
  <c r="D66" i="5"/>
  <c r="G65" i="5"/>
  <c r="F65" i="5"/>
  <c r="E65" i="5"/>
  <c r="D65" i="5"/>
  <c r="G64" i="5"/>
  <c r="F64" i="5"/>
  <c r="E64" i="5"/>
  <c r="D64" i="5"/>
  <c r="G63" i="5"/>
  <c r="F63" i="5"/>
  <c r="E63" i="5"/>
  <c r="D63" i="5"/>
  <c r="G62" i="5"/>
  <c r="F62" i="5"/>
  <c r="E62" i="5"/>
  <c r="D62" i="5"/>
  <c r="G61" i="5"/>
  <c r="F61" i="5"/>
  <c r="E61" i="5"/>
  <c r="D61" i="5"/>
  <c r="G60" i="5"/>
  <c r="F60" i="5"/>
  <c r="E60" i="5"/>
  <c r="D60" i="5"/>
  <c r="G59" i="5"/>
  <c r="F59" i="5"/>
  <c r="E59" i="5"/>
  <c r="D59" i="5"/>
  <c r="G58" i="5"/>
  <c r="F58" i="5"/>
  <c r="E58" i="5"/>
  <c r="D58" i="5"/>
  <c r="G57" i="5"/>
  <c r="F57" i="5"/>
  <c r="E57" i="5"/>
  <c r="D57" i="5"/>
  <c r="G56" i="5"/>
  <c r="F56" i="5"/>
  <c r="E56" i="5"/>
  <c r="D56" i="5"/>
  <c r="G55" i="5"/>
  <c r="F55" i="5"/>
  <c r="E55" i="5"/>
  <c r="D55" i="5"/>
  <c r="G54" i="5"/>
  <c r="F54" i="5"/>
  <c r="E54" i="5"/>
  <c r="D54" i="5"/>
  <c r="G53" i="5"/>
  <c r="F53" i="5"/>
  <c r="E53" i="5"/>
  <c r="D53" i="5"/>
  <c r="G52" i="5"/>
  <c r="F52" i="5"/>
  <c r="E52" i="5"/>
  <c r="D52" i="5"/>
  <c r="G51" i="5"/>
  <c r="F51" i="5"/>
  <c r="E51" i="5"/>
  <c r="D51" i="5"/>
  <c r="G50" i="5"/>
  <c r="F50" i="5"/>
  <c r="E50" i="5"/>
  <c r="D50" i="5"/>
  <c r="G49" i="5"/>
  <c r="F49" i="5"/>
  <c r="E49" i="5"/>
  <c r="D49" i="5"/>
  <c r="G48" i="5"/>
  <c r="F48" i="5"/>
  <c r="E48" i="5"/>
  <c r="D48" i="5"/>
  <c r="G47" i="5"/>
  <c r="F47" i="5"/>
  <c r="E47" i="5"/>
  <c r="D47" i="5"/>
  <c r="G46" i="5"/>
  <c r="F46" i="5"/>
  <c r="E46" i="5"/>
  <c r="D46" i="5"/>
  <c r="G45" i="5"/>
  <c r="F45" i="5"/>
  <c r="E45" i="5"/>
  <c r="D45" i="5"/>
  <c r="G44" i="5"/>
  <c r="F44" i="5"/>
  <c r="E44" i="5"/>
  <c r="D44" i="5"/>
  <c r="G43" i="5"/>
  <c r="F43" i="5"/>
  <c r="E43" i="5"/>
  <c r="D43" i="5"/>
  <c r="G42" i="5"/>
  <c r="F42" i="5"/>
  <c r="E42" i="5"/>
  <c r="D42" i="5"/>
  <c r="G41" i="5"/>
  <c r="F41" i="5"/>
  <c r="E41" i="5"/>
  <c r="D41" i="5"/>
  <c r="G40" i="5"/>
  <c r="F40" i="5"/>
  <c r="E40" i="5"/>
  <c r="D40" i="5"/>
  <c r="G39" i="5"/>
  <c r="F39" i="5"/>
  <c r="E39" i="5"/>
  <c r="D39" i="5"/>
  <c r="G38" i="5"/>
  <c r="F38" i="5"/>
  <c r="E38" i="5"/>
  <c r="D38" i="5"/>
  <c r="G37" i="5"/>
  <c r="F37" i="5"/>
  <c r="E37" i="5"/>
  <c r="D37" i="5"/>
  <c r="G36" i="5"/>
  <c r="F36" i="5"/>
  <c r="E36" i="5"/>
  <c r="D36" i="5"/>
  <c r="G35" i="5"/>
  <c r="F35" i="5"/>
  <c r="E35" i="5"/>
  <c r="D35" i="5"/>
  <c r="G34" i="5"/>
  <c r="F34" i="5"/>
  <c r="E34" i="5"/>
  <c r="D34" i="5"/>
  <c r="G33" i="5"/>
  <c r="F33" i="5"/>
  <c r="E33" i="5"/>
  <c r="D33" i="5"/>
  <c r="G32" i="5"/>
  <c r="F32" i="5"/>
  <c r="E32" i="5"/>
  <c r="D32" i="5"/>
  <c r="G31" i="5"/>
  <c r="F31" i="5"/>
  <c r="E31" i="5"/>
  <c r="D31" i="5"/>
  <c r="G30" i="5"/>
  <c r="F30" i="5"/>
  <c r="E30" i="5"/>
  <c r="D30" i="5"/>
  <c r="G29" i="5"/>
  <c r="F29" i="5"/>
  <c r="E29" i="5"/>
  <c r="D29" i="5"/>
  <c r="G28" i="5"/>
  <c r="F28" i="5"/>
  <c r="E28" i="5"/>
  <c r="D28" i="5"/>
  <c r="G27" i="5"/>
  <c r="F27" i="5"/>
  <c r="E27" i="5"/>
  <c r="D27" i="5"/>
  <c r="G26" i="5"/>
  <c r="F26" i="5"/>
  <c r="E26" i="5"/>
  <c r="D26" i="5"/>
  <c r="G25" i="5"/>
  <c r="F25" i="5"/>
  <c r="E25" i="5"/>
  <c r="D25" i="5"/>
  <c r="G24" i="5"/>
  <c r="F24" i="5"/>
  <c r="E24" i="5"/>
  <c r="D24" i="5"/>
  <c r="G23" i="5"/>
  <c r="F23" i="5"/>
  <c r="E23" i="5"/>
  <c r="D23" i="5"/>
  <c r="G22" i="5"/>
  <c r="F22" i="5"/>
  <c r="E22" i="5"/>
  <c r="D22" i="5"/>
  <c r="G21" i="5"/>
  <c r="F21" i="5"/>
  <c r="E21" i="5"/>
  <c r="D21" i="5"/>
  <c r="G20" i="5"/>
  <c r="F20" i="5"/>
  <c r="E20" i="5"/>
  <c r="D20" i="5"/>
  <c r="G19" i="5"/>
  <c r="F19" i="5"/>
  <c r="E19" i="5"/>
  <c r="D19" i="5"/>
  <c r="G18" i="5"/>
  <c r="F18" i="5"/>
  <c r="E18" i="5"/>
  <c r="D18" i="5"/>
  <c r="E12" i="5"/>
  <c r="G12" i="5" s="1"/>
  <c r="E11" i="5"/>
  <c r="G11" i="5" s="1"/>
  <c r="E10" i="5"/>
  <c r="G10" i="5" s="1"/>
  <c r="E9" i="5"/>
  <c r="F9" i="5" s="1"/>
  <c r="E8" i="5"/>
  <c r="G8" i="5" s="1"/>
  <c r="E7" i="5"/>
  <c r="F7" i="5" s="1"/>
  <c r="E6" i="5"/>
  <c r="G6" i="5" s="1"/>
  <c r="E5" i="5"/>
  <c r="F5" i="5" s="1"/>
  <c r="E4" i="5"/>
  <c r="G4" i="5" s="1"/>
  <c r="F99" i="6" l="1"/>
  <c r="G98" i="6"/>
  <c r="I98" i="6" s="1"/>
  <c r="F96" i="6"/>
  <c r="F94" i="6"/>
  <c r="F92" i="6"/>
  <c r="G90" i="6"/>
  <c r="I90" i="6" s="1"/>
  <c r="G88" i="6"/>
  <c r="I88" i="6" s="1"/>
  <c r="F86" i="6"/>
  <c r="F84" i="6"/>
  <c r="F41" i="6"/>
  <c r="F23" i="6"/>
  <c r="F14" i="6"/>
  <c r="G20" i="6"/>
  <c r="I20" i="6" s="1"/>
  <c r="F49" i="6"/>
  <c r="G32" i="6"/>
  <c r="I32" i="6" s="1"/>
  <c r="F89" i="6"/>
  <c r="F11" i="6"/>
  <c r="F29" i="6"/>
  <c r="F46" i="6"/>
  <c r="F68" i="6"/>
  <c r="F37" i="6"/>
  <c r="F95" i="6"/>
  <c r="F74" i="6"/>
  <c r="F26" i="6"/>
  <c r="F59" i="6"/>
  <c r="G17" i="6"/>
  <c r="I17" i="6" s="1"/>
  <c r="F21" i="6"/>
  <c r="G35" i="6"/>
  <c r="I35" i="6" s="1"/>
  <c r="F38" i="6"/>
  <c r="G44" i="6"/>
  <c r="I44" i="6" s="1"/>
  <c r="F47" i="6"/>
  <c r="G81" i="6"/>
  <c r="I81" i="6" s="1"/>
  <c r="G85" i="6"/>
  <c r="I85" i="6" s="1"/>
  <c r="F91" i="6"/>
  <c r="G12" i="6"/>
  <c r="I12" i="6" s="1"/>
  <c r="F15" i="6"/>
  <c r="F33" i="6"/>
  <c r="F55" i="6"/>
  <c r="F97" i="6"/>
  <c r="F10" i="6"/>
  <c r="F19" i="6"/>
  <c r="G42" i="6"/>
  <c r="I42" i="6" s="1"/>
  <c r="F45" i="6"/>
  <c r="G76" i="6"/>
  <c r="I76" i="6" s="1"/>
  <c r="F87" i="6"/>
  <c r="F13" i="6"/>
  <c r="G27" i="6"/>
  <c r="I27" i="6" s="1"/>
  <c r="F31" i="6"/>
  <c r="F48" i="6"/>
  <c r="G62" i="6"/>
  <c r="I62" i="6" s="1"/>
  <c r="F16" i="6"/>
  <c r="G22" i="6"/>
  <c r="I22" i="6" s="1"/>
  <c r="F25" i="6"/>
  <c r="F34" i="6"/>
  <c r="G40" i="6"/>
  <c r="I40" i="6" s="1"/>
  <c r="F43" i="6"/>
  <c r="F57" i="6"/>
  <c r="G72" i="6"/>
  <c r="I72" i="6" s="1"/>
  <c r="F78" i="6"/>
  <c r="F83" i="6"/>
  <c r="G93" i="6"/>
  <c r="I93" i="6" s="1"/>
  <c r="F100" i="6"/>
  <c r="F64" i="6"/>
  <c r="F30" i="6"/>
  <c r="F70" i="6"/>
  <c r="F24" i="6"/>
  <c r="F36" i="6"/>
  <c r="F66" i="6"/>
  <c r="F8" i="5"/>
  <c r="F4" i="5"/>
  <c r="G9" i="5"/>
  <c r="F6" i="5"/>
  <c r="F12" i="5"/>
  <c r="G7" i="5"/>
  <c r="F10" i="5"/>
  <c r="F11" i="5"/>
  <c r="G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</author>
    <author>Stephen Wong</author>
  </authors>
  <commentList>
    <comment ref="F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=(PrB-PrA*K1)^N*(K+PrB*K3)</t>
        </r>
      </text>
    </comment>
    <comment ref="N20" authorId="1" shapeId="0" xr:uid="{00000000-0006-0000-0000-000002000000}">
      <text>
        <r>
          <rPr>
            <sz val="9"/>
            <color indexed="81"/>
            <rFont val="Tahoma"/>
            <family val="2"/>
          </rPr>
          <t>PrB cannot be less than MF and PrA*K2, or "---" is displayed</t>
        </r>
      </text>
    </comment>
    <comment ref="D22" authorId="1" shapeId="0" xr:uid="{00000000-0006-0000-0000-000003000000}">
      <text>
        <r>
          <rPr>
            <sz val="9"/>
            <color indexed="81"/>
            <rFont val="Tahoma"/>
            <family val="2"/>
          </rPr>
          <t>PrB cannot be negative, so "---" is displayed</t>
        </r>
      </text>
    </comment>
    <comment ref="B29" authorId="0" shapeId="0" xr:uid="{00000000-0006-0000-0000-000004000000}">
      <text>
        <r>
          <rPr>
            <sz val="9"/>
            <color indexed="81"/>
            <rFont val="Tahoma"/>
            <family val="2"/>
          </rPr>
          <t>This equation is used only if PrA is positive, or when "Set Pressure" value of "0" Pa is entered</t>
        </r>
      </text>
    </comment>
    <comment ref="C2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must be positive
</t>
        </r>
      </text>
    </comment>
    <comment ref="B30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This equation is used only if PrA is negative
</t>
        </r>
      </text>
    </comment>
    <comment ref="C30" authorId="0" shapeId="0" xr:uid="{00000000-0006-0000-0000-000007000000}">
      <text>
        <r>
          <rPr>
            <sz val="9"/>
            <color indexed="81"/>
            <rFont val="Tahoma"/>
            <family val="2"/>
          </rPr>
          <t>Must be negative</t>
        </r>
      </text>
    </comment>
    <comment ref="B50" authorId="0" shapeId="0" xr:uid="{00000000-0006-0000-0000-000008000000}">
      <text>
        <r>
          <rPr>
            <sz val="9"/>
            <color indexed="81"/>
            <rFont val="Tahoma"/>
            <family val="2"/>
          </rPr>
          <t>This equation is used only if PrA is positive, or when "Set Pressure" value of "0" Pa is entered</t>
        </r>
      </text>
    </comment>
    <comment ref="C50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Must be positive
</t>
        </r>
      </text>
    </comment>
    <comment ref="B51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This equation is used only if PrA is negative
</t>
        </r>
      </text>
    </comment>
    <comment ref="C51" authorId="0" shapeId="0" xr:uid="{00000000-0006-0000-0000-00000B000000}">
      <text>
        <r>
          <rPr>
            <sz val="9"/>
            <color indexed="81"/>
            <rFont val="Tahoma"/>
            <family val="2"/>
          </rPr>
          <t>Must be negative</t>
        </r>
      </text>
    </comment>
    <comment ref="J53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1.094 changed to 1.133 on 2015-09-17</t>
        </r>
      </text>
    </comment>
    <comment ref="C77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=a*P^3+b*P^2+c*P+d+(g - BP)*f</t>
        </r>
      </text>
    </comment>
    <comment ref="F8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=a*P^3+b*P^2+c*P+d+(g - BP)*f</t>
        </r>
      </text>
    </comment>
    <comment ref="R103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25 changed to 40
on 2015-09-30</t>
        </r>
      </text>
    </comment>
    <comment ref="R104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30 changed to 50 on 2015-09-30</t>
        </r>
      </text>
    </comment>
    <comment ref="R105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30 changed to 60 on 2015-09-30</t>
        </r>
      </text>
    </comment>
    <comment ref="R113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25 changed to 40
on 2015-09-30</t>
        </r>
      </text>
    </comment>
    <comment ref="R114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30 changed to 50 on 2015-09-30</t>
        </r>
      </text>
    </comment>
    <comment ref="O115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0.9370 changed to 0.9651 on 2015-09-30</t>
        </r>
      </text>
    </comment>
    <comment ref="R115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30 changed to 60 on 2015-09-30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=(PrB-PrA*K1)^N*(K+PrB*K3)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follow signifcant digits from DM32 design rules, not from here</t>
        </r>
      </text>
    </comment>
    <comment ref="B2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positive</t>
        </r>
      </text>
    </comment>
    <comment ref="C2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must be positive
</t>
        </r>
      </text>
    </comment>
    <comment ref="B2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negative
</t>
        </r>
      </text>
    </comment>
    <comment ref="C2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Must be negative</t>
        </r>
      </text>
    </comment>
    <comment ref="B4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positive</t>
        </r>
      </text>
    </comment>
    <comment ref="C4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must be positive
</t>
        </r>
      </text>
    </comment>
    <comment ref="B4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negative</t>
        </r>
      </text>
    </comment>
    <comment ref="C45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Must be negative</t>
        </r>
      </text>
    </comment>
    <comment ref="F7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=a*P^3+b*P^2+c*P+d+(g - BP)*f</t>
        </r>
      </text>
    </comment>
    <comment ref="G70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follow signifcant digits from design rules, not from here</t>
        </r>
      </text>
    </comment>
    <comment ref="F7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=a*P^3+b*P^2+c*P+d+(g - BP)*f</t>
        </r>
      </text>
    </comment>
    <comment ref="G79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follow signifcant digits from design rules, not from here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</author>
    <author>Stephen Wong</author>
  </authors>
  <commentList>
    <comment ref="F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=(PrB-PrA*K1)^N*(K+PrB*K3)</t>
        </r>
      </text>
    </comment>
    <comment ref="G1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follow signifcant digits from DM32 design rules, not from here</t>
        </r>
      </text>
    </comment>
    <comment ref="O20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PrB cannot be less than MF and PrA*K2, or "---" is displayed</t>
        </r>
      </text>
    </comment>
    <comment ref="D22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PrB cannot be negative, so "---" is displayed</t>
        </r>
      </text>
    </comment>
    <comment ref="B2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positive, or when "Set Pressure" value of "0" Pa is entered</t>
        </r>
      </text>
    </comment>
    <comment ref="B3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negative
</t>
        </r>
      </text>
    </comment>
    <comment ref="D31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PrB cannot be negative, so "---" is displayed</t>
        </r>
      </text>
    </comment>
    <comment ref="D41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PrB cannot be negative, so "---" is displayed</t>
        </r>
      </text>
    </comment>
    <comment ref="B50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positive, or when "Set Pressure" value of "0" Pa is entered</t>
        </r>
      </text>
    </comment>
    <comment ref="B5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negative
</t>
        </r>
      </text>
    </comment>
    <comment ref="K5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Changed 2015-09-17</t>
        </r>
      </text>
    </comment>
    <comment ref="F76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=a*P^3+b*P^2+c*P+d+(g - BP)*f</t>
        </r>
      </text>
    </comment>
    <comment ref="G76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follow signifcant digits from DM32 design rules, not from here</t>
        </r>
      </text>
    </comment>
    <comment ref="F85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=a*P^3+b*P^2+c*P+d+(g - BP)*f</t>
        </r>
      </text>
    </comment>
    <comment ref="G85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follow signifcant digits from DM32 design rules, not from here</t>
        </r>
      </text>
    </comment>
    <comment ref="S102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Changed 2015-09-30</t>
        </r>
      </text>
    </comment>
    <comment ref="S10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Changed 2015-09-30</t>
        </r>
      </text>
    </comment>
    <comment ref="S104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Changed 2015-09-30</t>
        </r>
      </text>
    </comment>
    <comment ref="S112" authorId="1" shapeId="0" xr:uid="{00000000-0006-0000-0200-000013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Changed 2015-09-30</t>
        </r>
      </text>
    </comment>
    <comment ref="S113" authorId="1" shapeId="0" xr:uid="{00000000-0006-0000-0200-000014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Changed 2015-09-30</t>
        </r>
      </text>
    </comment>
    <comment ref="P114" authorId="1" shapeId="0" xr:uid="{00000000-0006-0000-0200-000015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0.9370 changed to 0.9651 on 2015-09-30</t>
        </r>
      </text>
    </comment>
    <comment ref="S114" authorId="1" shapeId="0" xr:uid="{00000000-0006-0000-0200-000016000000}">
      <text>
        <r>
          <rPr>
            <b/>
            <sz val="9"/>
            <color indexed="81"/>
            <rFont val="Tahoma"/>
            <family val="2"/>
          </rPr>
          <t>Stephen Wong:</t>
        </r>
        <r>
          <rPr>
            <sz val="9"/>
            <color indexed="81"/>
            <rFont val="Tahoma"/>
            <family val="2"/>
          </rPr>
          <t xml:space="preserve">
Changed 2015-09-30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</author>
  </authors>
  <commentList>
    <comment ref="F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=(PrB-PrA*K1)^N*(K+PrB*K3)</t>
        </r>
      </text>
    </comment>
    <comment ref="G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follow signifcant digits from design rules, not from here</t>
        </r>
      </text>
    </comment>
    <comment ref="B1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positive</t>
        </r>
      </text>
    </comment>
    <comment ref="C19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must be positive
</t>
        </r>
      </text>
    </comment>
    <comment ref="B2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negative
</t>
        </r>
      </text>
    </comment>
    <comment ref="C20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Must be negative</t>
        </r>
      </text>
    </comment>
    <comment ref="B40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positive</t>
        </r>
      </text>
    </comment>
    <comment ref="C40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must be positive
</t>
        </r>
      </text>
    </comment>
    <comment ref="B41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negative</t>
        </r>
      </text>
    </comment>
    <comment ref="C41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Must be negative</t>
        </r>
      </text>
    </comment>
    <comment ref="F54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=a*P^3+b*P^2+c*P+d+(g - BP)*f</t>
        </r>
      </text>
    </comment>
    <comment ref="G54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follow signifcant digits from design rules, not from here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</author>
  </authors>
  <commentList>
    <comment ref="F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=(PrB-PrA*K1)^N*(K+PrB*K3)</t>
        </r>
      </text>
    </comment>
    <comment ref="G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follow signifcant digits from design rules, not from here</t>
        </r>
      </text>
    </comment>
    <comment ref="B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positive</t>
        </r>
      </text>
    </comment>
    <comment ref="C4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must be positive
</t>
        </r>
      </text>
    </comment>
    <comment ref="B5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This equation is used only if PrA is negative
</t>
        </r>
      </text>
    </comment>
    <comment ref="C5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Must be negative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</author>
  </authors>
  <commentList>
    <comment ref="F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=(PrB-PrA*K1)^N*(K+PrB*K3)</t>
        </r>
      </text>
    </comment>
    <comment ref="G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follow signifcant digits from design rules, not from here</t>
        </r>
      </text>
    </comment>
    <comment ref="C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must be positive
</t>
        </r>
      </text>
    </comment>
    <comment ref="C5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Must be negative</t>
        </r>
      </text>
    </comment>
    <comment ref="E84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2015-09-11  CG: Take it up to 315 CFM [For 400 manual Appendix A table]</t>
        </r>
      </text>
    </comment>
  </commentList>
</comments>
</file>

<file path=xl/sharedStrings.xml><?xml version="1.0" encoding="utf-8"?>
<sst xmlns="http://schemas.openxmlformats.org/spreadsheetml/2006/main" count="746" uniqueCount="138">
  <si>
    <t>K</t>
  </si>
  <si>
    <t>N</t>
  </si>
  <si>
    <t>K1</t>
  </si>
  <si>
    <t>K3</t>
  </si>
  <si>
    <t>Open</t>
  </si>
  <si>
    <t>K2</t>
  </si>
  <si>
    <t>MF</t>
  </si>
  <si>
    <t>Device</t>
  </si>
  <si>
    <t>Range</t>
  </si>
  <si>
    <t>Flow in CFM, induced pressure of:</t>
  </si>
  <si>
    <t>For sample flow calculations: enter pressure data into Columns C &amp; D</t>
  </si>
  <si>
    <t>Ring A</t>
  </si>
  <si>
    <t>B8</t>
  </si>
  <si>
    <t>B4</t>
  </si>
  <si>
    <t>B2</t>
  </si>
  <si>
    <t>B1</t>
  </si>
  <si>
    <t>B74</t>
  </si>
  <si>
    <t>B47</t>
  </si>
  <si>
    <t>B29</t>
  </si>
  <si>
    <t>g</t>
  </si>
  <si>
    <t>f</t>
  </si>
  <si>
    <t>a</t>
  </si>
  <si>
    <t>b</t>
  </si>
  <si>
    <t>c</t>
  </si>
  <si>
    <t>d</t>
  </si>
  <si>
    <t xml:space="preserve">K2 </t>
  </si>
  <si>
    <t>CFM displayed on DM32</t>
  </si>
  <si>
    <t>CFM calculation</t>
  </si>
  <si>
    <t>Enter Pressures appearing on gauge</t>
  </si>
  <si>
    <t>P (Pa)</t>
  </si>
  <si>
    <t xml:space="preserve">PrB,          Pa </t>
  </si>
  <si>
    <t>identifies the same Range but depending on PrA sign (or if 'set to 0 Pa' is implemented), different flow coeffcients are used</t>
  </si>
  <si>
    <t>P conditions: PrB&gt;=MF, PrB&gt;=|PrA|*K2</t>
  </si>
  <si>
    <t>PrA,           Pa</t>
  </si>
  <si>
    <t>PrA,          Pa</t>
  </si>
  <si>
    <t>PrB cannot be negative, so "---" is displayed</t>
  </si>
  <si>
    <t>use when PrA is positive or when "Set Pressure" value of "0" Pa is entered</t>
  </si>
  <si>
    <t>use when PrA is negative</t>
  </si>
  <si>
    <t>Fan Pressure used in flow equations</t>
  </si>
  <si>
    <t>P,                  Pa</t>
  </si>
  <si>
    <t>P,                Pa</t>
  </si>
  <si>
    <r>
      <t>Flow = P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*a+P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*b+P*c+d+(g-|PrA|)*f</t>
    </r>
  </si>
  <si>
    <r>
      <t>Flow = P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*K</t>
    </r>
  </si>
  <si>
    <r>
      <t>Flow = (P-|PrA|)*K1)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*(K+P*K3)                                                                                                                                        </t>
    </r>
    <r>
      <rPr>
        <sz val="11"/>
        <color theme="0" tint="-0.499984740745262"/>
        <rFont val="Calibri"/>
        <family val="2"/>
        <scheme val="minor"/>
      </rPr>
      <t>Since K1 and K3 are 0 for 300 &amp; 340 &amp; 350 &amp; 450 systems, this equation can be simplified to:  Flow = P</t>
    </r>
    <r>
      <rPr>
        <vertAlign val="superscript"/>
        <sz val="11"/>
        <color theme="0" tint="-0.499984740745262"/>
        <rFont val="Calibri"/>
        <family val="2"/>
        <scheme val="minor"/>
      </rPr>
      <t>N</t>
    </r>
    <r>
      <rPr>
        <sz val="11"/>
        <color theme="0" tint="-0.499984740745262"/>
        <rFont val="Calibri"/>
        <family val="2"/>
        <scheme val="minor"/>
      </rPr>
      <t>*K</t>
    </r>
  </si>
  <si>
    <t>"Round A" released: 2014</t>
  </si>
  <si>
    <t>build 55 reading</t>
  </si>
  <si>
    <t>Error</t>
  </si>
  <si>
    <t xml:space="preserve"> </t>
  </si>
  <si>
    <t>PrB cannot be less than MF and PrA*K2, or "---" is displayed</t>
  </si>
  <si>
    <t>Changed 2015-07-02</t>
  </si>
  <si>
    <t>"Round B" released: 2015-06-23, DM32 v2.3.62</t>
  </si>
  <si>
    <t>Mid</t>
  </si>
  <si>
    <t>Low</t>
  </si>
  <si>
    <t>3000SR</t>
  </si>
  <si>
    <t>Published Flow Equation Parameters:</t>
  </si>
  <si>
    <t>A</t>
  </si>
  <si>
    <t>B</t>
  </si>
  <si>
    <t>C8</t>
  </si>
  <si>
    <t>C6</t>
  </si>
  <si>
    <t>C4</t>
  </si>
  <si>
    <t>C2</t>
  </si>
  <si>
    <t>C1</t>
  </si>
  <si>
    <t>L4</t>
  </si>
  <si>
    <t>L2</t>
  </si>
  <si>
    <t>L1</t>
  </si>
  <si>
    <t>1000
2000
3000</t>
  </si>
  <si>
    <t>build 63 reading</t>
  </si>
  <si>
    <t>P (in WC)</t>
  </si>
  <si>
    <t>identifies the same Range but depending on PrA sign (or if 'set to 0 Pa' is implemented), different flow equation parameters are used</t>
  </si>
  <si>
    <t>25 Pa on 10" flex</t>
  </si>
  <si>
    <t>Master plug S/N</t>
  </si>
  <si>
    <r>
      <rPr>
        <sz val="16"/>
        <color theme="1"/>
        <rFont val="Calibri"/>
        <family val="2"/>
        <scheme val="minor"/>
      </rPr>
      <t>Flow = P</t>
    </r>
    <r>
      <rPr>
        <vertAlign val="super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>*K</t>
    </r>
    <r>
      <rPr>
        <sz val="11"/>
        <color rgb="FFFF0000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(Open, Ring A, B8)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Flow = P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*a+P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*b+P*c+d+(g-|PrA|)*f</t>
    </r>
    <r>
      <rPr>
        <sz val="16"/>
        <color rgb="FFFF0000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(B4)</t>
    </r>
    <r>
      <rPr>
        <sz val="11"/>
        <color theme="1"/>
        <rFont val="Calibri"/>
        <family val="2"/>
        <scheme val="minor"/>
      </rPr>
      <t xml:space="preserve">
P is calculated depending:
If PrA</t>
    </r>
    <r>
      <rPr>
        <sz val="18"/>
        <color rgb="FFFF0000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0:  P = |PrB|-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PrA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
If PrA&gt;0:  P = PrB
Conditions that must be true, or else “---“ is displayed for flow result:
If PrA</t>
    </r>
    <r>
      <rPr>
        <sz val="20"/>
        <color rgb="FFFF0000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0: (|PrB|-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PrA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)&gt;MF, (|PrB|-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PrA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)&gt;PrA*K2 
If PrA&gt;0:  PrB&gt;=MF, PrB&gt;=|PrA|*K2
</t>
    </r>
  </si>
  <si>
    <r>
      <rPr>
        <sz val="16"/>
        <color theme="1"/>
        <rFont val="Calibri"/>
        <family val="2"/>
        <scheme val="minor"/>
      </rPr>
      <t>Flow = (P-|PrA|)*K1)</t>
    </r>
    <r>
      <rPr>
        <vertAlign val="super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 xml:space="preserve">*(K+P*K3) </t>
    </r>
    <r>
      <rPr>
        <sz val="8"/>
        <color rgb="FFFF0000"/>
        <rFont val="Calibri"/>
        <family val="2"/>
        <scheme val="minor"/>
      </rPr>
      <t>(1000, 2000, 3000 fans - all ranges)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Flow = P</t>
    </r>
    <r>
      <rPr>
        <vertAlign val="super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 xml:space="preserve">*K </t>
    </r>
    <r>
      <rPr>
        <sz val="8"/>
        <color rgb="FFFF0000"/>
        <rFont val="Calibri"/>
        <family val="2"/>
        <scheme val="minor"/>
      </rPr>
      <t>(5000, 6000 fans - Open, Ring A, B8)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Flow = P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*a+P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*b+P*c+d+(g-|PrA|)*f </t>
    </r>
    <r>
      <rPr>
        <sz val="8"/>
        <color rgb="FFFF0000"/>
        <rFont val="Calibri"/>
        <family val="2"/>
        <scheme val="minor"/>
      </rPr>
      <t>(5000, 6000 fans - B4, B2, B1, B74, B47, B29)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P is calculated depending:
If PrA</t>
    </r>
    <r>
      <rPr>
        <sz val="18"/>
        <color rgb="FFFF0000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>0:  P = |PrB|-PrA
If PrA&lt;0:  P = PrB
Conditions that must be true, or else “---“ is displayed for flow result: 
If PrA</t>
    </r>
    <r>
      <rPr>
        <sz val="20"/>
        <color rgb="FFFF0000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0: (|PrB|-PrA)&gt;MF, (|PrB|-PrA)&gt;PrA*K2 
If PrA&lt;0:  PrB&gt;=MF, PrB&gt;=|PrA|*K2
</t>
    </r>
  </si>
  <si>
    <r>
      <rPr>
        <sz val="16"/>
        <color theme="1"/>
        <rFont val="Calibri"/>
        <family val="2"/>
        <scheme val="minor"/>
      </rPr>
      <t>Flow = (P-|PrA|)*K1)</t>
    </r>
    <r>
      <rPr>
        <vertAlign val="super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 xml:space="preserve">*(K+P*K3)                
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Since K1 and K3 are 0 for 300 &amp; 340 &amp; 350 &amp; 450 systems, this equation can be simplified to:  </t>
    </r>
    <r>
      <rPr>
        <b/>
        <sz val="10"/>
        <color theme="1"/>
        <rFont val="Calibri"/>
        <family val="2"/>
        <scheme val="minor"/>
      </rPr>
      <t>Flow = P</t>
    </r>
    <r>
      <rPr>
        <b/>
        <vertAlign val="superscript"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>*K</t>
    </r>
    <r>
      <rPr>
        <sz val="10"/>
        <color theme="1"/>
        <rFont val="Calibri"/>
        <family val="2"/>
        <scheme val="minor"/>
      </rPr>
      <t xml:space="preserve"> , i.e. no backpressure compensation because PrA becomes irrelevant
</t>
    </r>
    <r>
      <rPr>
        <sz val="11"/>
        <color theme="1"/>
        <rFont val="Calibri"/>
        <family val="2"/>
        <scheme val="minor"/>
      </rPr>
      <t xml:space="preserve">Condition that must be true, or else “---“ is displayed for flow result:  </t>
    </r>
    <r>
      <rPr>
        <sz val="8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PrB&gt;=MF, PrB&gt;=|PrA|*K2, PrB&gt;0     </t>
    </r>
  </si>
  <si>
    <t>min Fan Pressure, Pa</t>
  </si>
  <si>
    <t>min Flow, CFM</t>
  </si>
  <si>
    <t>max Flow, CFM</t>
  </si>
  <si>
    <t>max Fan Pressure, Pa</t>
  </si>
  <si>
    <t>Open*</t>
  </si>
  <si>
    <t>74*</t>
  </si>
  <si>
    <t>delta</t>
  </si>
  <si>
    <t>Hide detailed specs:</t>
  </si>
  <si>
    <t>high</t>
  </si>
  <si>
    <t>low</t>
  </si>
  <si>
    <t>Date released</t>
  </si>
  <si>
    <t>"Round"</t>
  </si>
  <si>
    <t>2014</t>
  </si>
  <si>
    <t>Version released</t>
  </si>
  <si>
    <t>2.4.??B1</t>
  </si>
  <si>
    <t>2.3.62</t>
  </si>
  <si>
    <t>"Round B1" changes, from Round B, are highlighted in yellow</t>
  </si>
  <si>
    <t>2015-11-??</t>
  </si>
  <si>
    <t>Yes</t>
  </si>
  <si>
    <t>build 68 reading</t>
  </si>
  <si>
    <t xml:space="preserve">Optional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</si>
  <si>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Condition that must be true, or else “---“ is displayed for flow result:  
                                                                                                                                                                                                                                                 PrB&gt;=MF, PrB&gt;=|PrA|*K2                                                                                                                               </t>
  </si>
  <si>
    <r>
      <rPr>
        <sz val="16"/>
        <color theme="1"/>
        <rFont val="Calibri"/>
        <family val="2"/>
        <scheme val="minor"/>
      </rPr>
      <t>Flow = (P-|PrA|)*K1)</t>
    </r>
    <r>
      <rPr>
        <vertAlign val="super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 xml:space="preserve">*(K+P*K3)                
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Since K1 and K3 are 0 for 300 &amp; 340 &amp; 350 &amp; 450 systems,                         this equation can be simplified to:  </t>
    </r>
    <r>
      <rPr>
        <b/>
        <sz val="10"/>
        <color theme="1"/>
        <rFont val="Calibri"/>
        <family val="2"/>
        <scheme val="minor"/>
      </rPr>
      <t>Flow = P</t>
    </r>
    <r>
      <rPr>
        <b/>
        <vertAlign val="superscript"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>*K</t>
    </r>
    <r>
      <rPr>
        <sz val="10"/>
        <color theme="1"/>
        <rFont val="Calibri"/>
        <family val="2"/>
        <scheme val="minor"/>
      </rPr>
      <t xml:space="preserve"> , i.e. no backpressure compensation because PrA becomes irrelevant</t>
    </r>
  </si>
  <si>
    <r>
      <t>P is calculated depending:
If PrA</t>
    </r>
    <r>
      <rPr>
        <sz val="18"/>
        <color rgb="FFFF0000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0:  P = |PrB|-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PrA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
If PrA&gt;0:  P = PrB
Conditions that must be true, or else “---“ is displayed for flow result:
If PrA</t>
    </r>
    <r>
      <rPr>
        <sz val="20"/>
        <color rgb="FFFF0000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0: (|PrB|-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PrA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)&gt;MF, (|PrB|-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PrA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)&gt;PrA*K2 
If PrA&gt;0:  PrB&gt;=MF, PrB&gt;=|PrA|*K2
</t>
    </r>
  </si>
  <si>
    <r>
      <t>P is calculated depending:
If PrA</t>
    </r>
    <r>
      <rPr>
        <sz val="18"/>
        <color rgb="FFFF0000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>0:  P = |PrB|-PrA
If PrA&lt;0:  P = PrB
Conditions that must be true, or else “---“ is displayed for flow result: 
If PrA</t>
    </r>
    <r>
      <rPr>
        <sz val="20"/>
        <color rgb="FFFF0000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0: (|PrB|-PrA)&gt;MF, (|PrB|-PrA)&gt;PrA*K2 
If PrA&lt;0:  PrB&gt;=MF, PrB&gt;=|PrA|*K2
</t>
    </r>
  </si>
  <si>
    <t xml:space="preserve">-50 and 40 </t>
  </si>
  <si>
    <r>
      <t>Flow = (P-|PrA|)*K1)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*(K+P*K3)</t>
    </r>
  </si>
  <si>
    <r>
      <rPr>
        <sz val="16"/>
        <color theme="1"/>
        <rFont val="Calibri"/>
        <family val="2"/>
        <scheme val="minor"/>
      </rPr>
      <t>Flow = P</t>
    </r>
    <r>
      <rPr>
        <vertAlign val="super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>*K</t>
    </r>
    <r>
      <rPr>
        <sz val="11"/>
        <color rgb="FFFF0000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(Open, Ring A, B8)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Flow = P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*a+P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*b+P*c+d+(g-|PrA|)*f</t>
    </r>
    <r>
      <rPr>
        <sz val="16"/>
        <color rgb="FFFF0000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(B4)</t>
    </r>
    <r>
      <rPr>
        <sz val="11"/>
        <color theme="1"/>
        <rFont val="Calibri"/>
        <family val="2"/>
        <scheme val="minor"/>
      </rPr>
      <t xml:space="preserve">
P is calculated depending:
If PrA</t>
    </r>
    <r>
      <rPr>
        <sz val="18"/>
        <color rgb="FFFF0000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0:  P = |PrB|-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PrA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
If PrA&gt;0:  P = PrB
Conditions that must be true, or else “- -“ is displayed for flow result:
If PrA</t>
    </r>
    <r>
      <rPr>
        <sz val="20"/>
        <color rgb="FFFF0000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0: (|PrB|-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PrA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)&gt;MF, (|PrB|-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PrA</t>
    </r>
    <r>
      <rPr>
        <b/>
        <sz val="11"/>
        <color rgb="FFFF0000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)&gt;PrA*K2 
If PrA&gt;0:  PrB&gt;=MF, PrB&gt;=|PrA|*K2
</t>
    </r>
  </si>
  <si>
    <t>2.4.71B1</t>
  </si>
  <si>
    <t>Fan Pressure used in flow equation</t>
  </si>
  <si>
    <t xml:space="preserve">@250 Pa with 10-4" flex </t>
  </si>
  <si>
    <t>Flow away = negative PrA =  no subtraction for PrB</t>
  </si>
  <si>
    <t>@50 Pa  with 10" flex</t>
  </si>
  <si>
    <t>Flow Chart:</t>
  </si>
  <si>
    <t>@25 Pa with 10" flex</t>
  </si>
  <si>
    <t xml:space="preserve">@25w/flex - @50 </t>
  </si>
  <si>
    <t>N/A</t>
  </si>
  <si>
    <t>Flow towards = positive PrA = subtraction for PrA</t>
  </si>
  <si>
    <r>
      <t xml:space="preserve">3000SR
</t>
    </r>
    <r>
      <rPr>
        <b/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Green port on fan</t>
    </r>
  </si>
  <si>
    <r>
      <t xml:space="preserve">1000
2000
3000
</t>
    </r>
    <r>
      <rPr>
        <sz val="8"/>
        <color theme="1"/>
        <rFont val="Calibri"/>
        <family val="2"/>
        <scheme val="minor"/>
      </rPr>
      <t>No green port on fan</t>
    </r>
  </si>
  <si>
    <t>* Flow will vary depending on the following factors: voltage, frequency, barometric pressure, backpressure, blade pitch, air temperature, bearing tightness, inlet air turbulence</t>
  </si>
  <si>
    <t>C</t>
  </si>
  <si>
    <t>D</t>
  </si>
  <si>
    <t>E</t>
  </si>
  <si>
    <t>2.2.49</t>
  </si>
  <si>
    <r>
      <t xml:space="preserve">MN 3 </t>
    </r>
    <r>
      <rPr>
        <b/>
        <sz val="12"/>
        <color theme="1"/>
        <rFont val="Calibri"/>
        <family val="2"/>
        <scheme val="minor"/>
      </rPr>
      <t>(110V)</t>
    </r>
  </si>
  <si>
    <r>
      <t xml:space="preserve">MN 3 </t>
    </r>
    <r>
      <rPr>
        <b/>
        <sz val="12"/>
        <color theme="1"/>
        <rFont val="Calibri"/>
        <family val="2"/>
        <scheme val="minor"/>
      </rPr>
      <t>(230V)</t>
    </r>
  </si>
  <si>
    <r>
      <t xml:space="preserve">MN 4 </t>
    </r>
    <r>
      <rPr>
        <b/>
        <sz val="12"/>
        <color theme="1"/>
        <rFont val="Calibri"/>
        <family val="2"/>
        <scheme val="minor"/>
      </rPr>
      <t>(230V)</t>
    </r>
  </si>
  <si>
    <t>MN 
DB</t>
  </si>
  <si>
    <t>Ring 1</t>
  </si>
  <si>
    <t>Ring 2</t>
  </si>
  <si>
    <t>Ring 3</t>
  </si>
  <si>
    <t>Legend</t>
  </si>
  <si>
    <t xml:space="preserve">For sample flow calculations: enter pressure data </t>
  </si>
  <si>
    <t>Published Flow Equation Parameters</t>
  </si>
  <si>
    <r>
      <t>"</t>
    </r>
    <r>
      <rPr>
        <b/>
        <i/>
        <sz val="11"/>
        <color theme="1"/>
        <rFont val="Calibri"/>
        <family val="2"/>
        <scheme val="minor"/>
      </rPr>
      <t>Round</t>
    </r>
    <r>
      <rPr>
        <b/>
        <sz val="11"/>
        <color theme="1"/>
        <rFont val="Calibri"/>
        <family val="2"/>
        <scheme val="minor"/>
      </rPr>
      <t>"</t>
    </r>
  </si>
  <si>
    <r>
      <rPr>
        <i/>
        <sz val="11"/>
        <color theme="1"/>
        <rFont val="Calibri"/>
        <family val="2"/>
        <scheme val="minor"/>
      </rPr>
      <t>Standard</t>
    </r>
    <r>
      <rPr>
        <sz val="11"/>
        <color theme="1"/>
        <rFont val="Calibri"/>
        <family val="2"/>
        <scheme val="minor"/>
      </rPr>
      <t xml:space="preserve"> Ranges - included with every system with no extra cost</t>
    </r>
  </si>
  <si>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Ranges - ISO 17025 calibration recommended</t>
    </r>
  </si>
  <si>
    <t>Not recommended but available if custom sealing performed - ISO 17025 calibration mandatory</t>
  </si>
  <si>
    <r>
      <rPr>
        <sz val="16"/>
        <color theme="1"/>
        <rFont val="Calibri"/>
        <family val="2"/>
        <scheme val="minor"/>
      </rPr>
      <t>Flow = P</t>
    </r>
    <r>
      <rPr>
        <vertAlign val="super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 xml:space="preserve">*K </t>
    </r>
  </si>
  <si>
    <r>
      <rPr>
        <sz val="16"/>
        <color theme="1"/>
        <rFont val="Calibri"/>
        <family val="2"/>
        <scheme val="minor"/>
      </rPr>
      <t>Flow = (P-|PrA|*K1)</t>
    </r>
    <r>
      <rPr>
        <vertAlign val="super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 xml:space="preserve">*(K+P*K3) </t>
    </r>
    <r>
      <rPr>
        <sz val="8"/>
        <color rgb="FFFF0000"/>
        <rFont val="Calibri"/>
        <family val="2"/>
        <scheme val="minor"/>
      </rPr>
      <t>(1000, 2000, 3000 fans - all ranges)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Flow = P</t>
    </r>
    <r>
      <rPr>
        <vertAlign val="super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 xml:space="preserve">*K </t>
    </r>
    <r>
      <rPr>
        <sz val="8"/>
        <color rgb="FFFF0000"/>
        <rFont val="Calibri"/>
        <family val="2"/>
        <scheme val="minor"/>
      </rPr>
      <t>(5000, 6000 fans - Open, Ring A, B8)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Flow = P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*a+P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*b+P*c+d+(g-|PrA|)*f </t>
    </r>
    <r>
      <rPr>
        <sz val="8"/>
        <color rgb="FFFF0000"/>
        <rFont val="Calibri"/>
        <family val="2"/>
        <scheme val="minor"/>
      </rPr>
      <t>(5000, 6000 fans - B4, B2, B1, B74, B47, B29)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P is calculated depending:
If PrA</t>
    </r>
    <r>
      <rPr>
        <sz val="18"/>
        <color rgb="FFFF0000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>0:  P = |PrB|-PrA
If PrA&lt;0:  P = PrB
Conditions that must be true, or else “- -“ is displayed for flow result: 
If PrA</t>
    </r>
    <r>
      <rPr>
        <sz val="20"/>
        <color rgb="FFFF0000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0: (|PrB|-PrA)&gt;MF, (|PrB|-PrA)&gt;PrA*K2 
If PrA&lt;0:  PrB&gt;=MF, PrB&gt;=|PrA|*K2
</t>
    </r>
  </si>
  <si>
    <r>
      <rPr>
        <sz val="16"/>
        <color theme="1"/>
        <rFont val="Calibri"/>
        <family val="2"/>
        <scheme val="minor"/>
      </rPr>
      <t>Flow = (P-|PrA|*K1)</t>
    </r>
    <r>
      <rPr>
        <vertAlign val="super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 xml:space="preserve">*(K+P*K3)                
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Since K1 and K3 are 0 for 300 &amp; 340 &amp; 350 &amp; 450 systems, this equation can be simplified to:  </t>
    </r>
    <r>
      <rPr>
        <b/>
        <sz val="10"/>
        <color theme="1"/>
        <rFont val="Calibri"/>
        <family val="2"/>
        <scheme val="minor"/>
      </rPr>
      <t>Flow = P</t>
    </r>
    <r>
      <rPr>
        <b/>
        <vertAlign val="superscript"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>*K</t>
    </r>
    <r>
      <rPr>
        <sz val="10"/>
        <color theme="1"/>
        <rFont val="Calibri"/>
        <family val="2"/>
        <scheme val="minor"/>
      </rPr>
      <t xml:space="preserve"> , i.e. no backpressure compensation because PrA becomes irrelevant
</t>
    </r>
    <r>
      <rPr>
        <sz val="11"/>
        <color theme="1"/>
        <rFont val="Calibri"/>
        <family val="2"/>
        <scheme val="minor"/>
      </rPr>
      <t xml:space="preserve">Condition that must be true, or else “- -“ is displayed for flow result:  </t>
    </r>
    <r>
      <rPr>
        <sz val="8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PrB&gt;=MF, PrB&gt;=|PrA|*K2, PrB&gt;0     </t>
    </r>
  </si>
  <si>
    <t>Metric Units:</t>
  </si>
  <si>
    <t>m3/h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</si>
</sst>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"/>
    <numFmt numFmtId="165" formatCode="0.0000"/>
    <numFmt numFmtId="166" formatCode="0.00000"/>
    <numFmt numFmtId="167" formatCode="0.000"/>
    <numFmt numFmtId="168" formatCode="0\ \P\a"/>
    <numFmt numFmtId="169" formatCode="0.000000"/>
    <numFmt numFmtId="170" formatCode="0.000E+00"/>
    <numFmt numFmtId="171" formatCode="0.0000000"/>
    <numFmt numFmtId="172" formatCode="0.0%"/>
    <numFmt numFmtId="173" formatCode="0.000%"/>
    <numFmt numFmtId="174" formatCode="&quot;@&quot;\ 0\ &quot;Pa&quot;"/>
    <numFmt numFmtId="175" formatCode="yyyy\-mm\-dd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/>
      <top style="thin">
        <color theme="0" tint="-0.24997711111789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/>
      <right/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9847407452621"/>
      </right>
      <top/>
      <bottom/>
      <diagonal/>
    </border>
    <border>
      <left style="medium">
        <color indexed="64"/>
      </left>
      <right style="thin">
        <color theme="0" tint="-0.14999847407452621"/>
      </right>
      <top/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</borders>
  <cellStyleXfs count="5">
    <xf numFmtId="0" fontId="0" fillId="0" borderId="0"/>
    <xf numFmtId="0" fontId="4" fillId="3" borderId="0" applyNumberFormat="0" applyBorder="0" applyAlignment="0" applyProtection="0"/>
    <xf numFmtId="0" fontId="7" fillId="5" borderId="0" applyNumberFormat="0" applyBorder="0" applyAlignment="0" applyProtection="0"/>
    <xf numFmtId="9" fontId="17" fillId="0" borderId="0" applyFont="0" applyFill="0" applyBorder="0" applyAlignment="0" applyProtection="0"/>
    <xf numFmtId="0" fontId="30" fillId="8" borderId="0" applyNumberFormat="0" applyBorder="0" applyAlignment="0" applyProtection="0"/>
  </cellStyleXfs>
  <cellXfs count="967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5" fontId="0" fillId="2" borderId="1" xfId="0" applyNumberFormat="1" applyFill="1" applyBorder="1"/>
    <xf numFmtId="0" fontId="0" fillId="2" borderId="1" xfId="0" applyFill="1" applyBorder="1"/>
    <xf numFmtId="1" fontId="1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7" fontId="0" fillId="2" borderId="1" xfId="0" applyNumberFormat="1" applyFill="1" applyBorder="1"/>
    <xf numFmtId="2" fontId="0" fillId="2" borderId="1" xfId="0" applyNumberFormat="1" applyFill="1" applyBorder="1"/>
    <xf numFmtId="0" fontId="0" fillId="0" borderId="0" xfId="0" quotePrefix="1" applyFont="1"/>
    <xf numFmtId="164" fontId="0" fillId="0" borderId="0" xfId="0" applyNumberFormat="1" applyAlignment="1">
      <alignment horizontal="center"/>
    </xf>
    <xf numFmtId="0" fontId="4" fillId="3" borderId="0" xfId="1"/>
    <xf numFmtId="164" fontId="0" fillId="0" borderId="10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2" borderId="18" xfId="0" applyFill="1" applyBorder="1"/>
    <xf numFmtId="0" fontId="1" fillId="0" borderId="10" xfId="0" applyFont="1" applyBorder="1" applyAlignment="1">
      <alignment horizontal="center"/>
    </xf>
    <xf numFmtId="0" fontId="0" fillId="0" borderId="6" xfId="0" applyFont="1" applyBorder="1"/>
    <xf numFmtId="0" fontId="0" fillId="2" borderId="13" xfId="0" applyFill="1" applyBorder="1"/>
    <xf numFmtId="2" fontId="0" fillId="0" borderId="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1" fillId="0" borderId="0" xfId="0" applyFont="1"/>
    <xf numFmtId="0" fontId="0" fillId="4" borderId="0" xfId="0" applyFont="1" applyFill="1"/>
    <xf numFmtId="0" fontId="0" fillId="4" borderId="0" xfId="0" applyFill="1"/>
    <xf numFmtId="164" fontId="0" fillId="0" borderId="0" xfId="0" applyNumberFormat="1" applyFont="1"/>
    <xf numFmtId="0" fontId="1" fillId="0" borderId="0" xfId="0" applyFont="1" applyAlignment="1">
      <alignment horizontal="right"/>
    </xf>
    <xf numFmtId="0" fontId="0" fillId="0" borderId="21" xfId="0" applyFont="1" applyBorder="1"/>
    <xf numFmtId="168" fontId="0" fillId="0" borderId="21" xfId="0" applyNumberFormat="1" applyFont="1" applyBorder="1" applyAlignment="1">
      <alignment horizontal="left"/>
    </xf>
    <xf numFmtId="0" fontId="7" fillId="5" borderId="0" xfId="2"/>
    <xf numFmtId="0" fontId="0" fillId="0" borderId="0" xfId="0" applyFont="1" applyFill="1"/>
    <xf numFmtId="0" fontId="0" fillId="0" borderId="0" xfId="0" applyFill="1"/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0" fillId="2" borderId="19" xfId="0" applyFill="1" applyBorder="1"/>
    <xf numFmtId="0" fontId="0" fillId="2" borderId="20" xfId="0" applyFill="1" applyBorder="1" applyAlignment="1">
      <alignment horizontal="center"/>
    </xf>
    <xf numFmtId="0" fontId="0" fillId="2" borderId="12" xfId="0" applyFill="1" applyBorder="1"/>
    <xf numFmtId="0" fontId="0" fillId="2" borderId="14" xfId="0" applyFill="1" applyBorder="1" applyAlignment="1">
      <alignment horizontal="center"/>
    </xf>
    <xf numFmtId="166" fontId="0" fillId="2" borderId="13" xfId="0" applyNumberFormat="1" applyFill="1" applyBorder="1"/>
    <xf numFmtId="0" fontId="0" fillId="2" borderId="16" xfId="0" applyFill="1" applyBorder="1"/>
    <xf numFmtId="0" fontId="0" fillId="2" borderId="15" xfId="0" applyFill="1" applyBorder="1" applyAlignment="1">
      <alignment horizontal="center"/>
    </xf>
    <xf numFmtId="0" fontId="4" fillId="3" borderId="20" xfId="1" applyBorder="1" applyAlignment="1">
      <alignment horizontal="center"/>
    </xf>
    <xf numFmtId="166" fontId="0" fillId="2" borderId="1" xfId="0" applyNumberFormat="1" applyFill="1" applyBorder="1"/>
    <xf numFmtId="0" fontId="1" fillId="0" borderId="0" xfId="0" applyFont="1" applyAlignment="1"/>
    <xf numFmtId="1" fontId="1" fillId="0" borderId="10" xfId="0" applyNumberFormat="1" applyFont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7" fillId="5" borderId="22" xfId="2" applyBorder="1"/>
    <xf numFmtId="0" fontId="7" fillId="5" borderId="23" xfId="2" applyBorder="1"/>
    <xf numFmtId="0" fontId="7" fillId="5" borderId="24" xfId="2" applyBorder="1"/>
    <xf numFmtId="1" fontId="1" fillId="0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69" fontId="0" fillId="2" borderId="13" xfId="0" applyNumberFormat="1" applyFill="1" applyBorder="1"/>
    <xf numFmtId="0" fontId="1" fillId="0" borderId="0" xfId="0" applyFont="1" applyBorder="1" applyAlignment="1">
      <alignment horizontal="center"/>
    </xf>
    <xf numFmtId="0" fontId="7" fillId="5" borderId="25" xfId="2" applyBorder="1"/>
    <xf numFmtId="0" fontId="0" fillId="2" borderId="26" xfId="0" applyFill="1" applyBorder="1"/>
    <xf numFmtId="2" fontId="0" fillId="2" borderId="26" xfId="0" applyNumberFormat="1" applyFill="1" applyBorder="1"/>
    <xf numFmtId="0" fontId="4" fillId="0" borderId="0" xfId="1" applyFill="1"/>
    <xf numFmtId="1" fontId="0" fillId="2" borderId="1" xfId="0" applyNumberFormat="1" applyFill="1" applyBorder="1"/>
    <xf numFmtId="0" fontId="0" fillId="2" borderId="1" xfId="0" applyFont="1" applyFill="1" applyBorder="1"/>
    <xf numFmtId="1" fontId="0" fillId="2" borderId="18" xfId="0" applyNumberFormat="1" applyFill="1" applyBorder="1"/>
    <xf numFmtId="0" fontId="0" fillId="2" borderId="18" xfId="0" applyFont="1" applyFill="1" applyBorder="1"/>
    <xf numFmtId="0" fontId="0" fillId="2" borderId="13" xfId="0" applyFont="1" applyFill="1" applyBorder="1"/>
    <xf numFmtId="0" fontId="0" fillId="2" borderId="19" xfId="0" applyFont="1" applyFill="1" applyBorder="1"/>
    <xf numFmtId="0" fontId="0" fillId="2" borderId="12" xfId="0" applyFont="1" applyFill="1" applyBorder="1"/>
    <xf numFmtId="0" fontId="0" fillId="2" borderId="16" xfId="0" applyFont="1" applyFill="1" applyBorder="1"/>
    <xf numFmtId="0" fontId="0" fillId="0" borderId="2" xfId="0" quotePrefix="1" applyBorder="1" applyAlignment="1">
      <alignment horizontal="center" vertical="top" wrapText="1"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/>
    <xf numFmtId="167" fontId="0" fillId="0" borderId="0" xfId="0" applyNumberFormat="1" applyFill="1" applyBorder="1"/>
    <xf numFmtId="166" fontId="0" fillId="0" borderId="0" xfId="0" applyNumberFormat="1" applyFill="1" applyBorder="1"/>
    <xf numFmtId="0" fontId="0" fillId="0" borderId="0" xfId="0" applyFont="1" applyFill="1" applyBorder="1"/>
    <xf numFmtId="2" fontId="0" fillId="0" borderId="10" xfId="0" applyNumberFormat="1" applyBorder="1" applyAlignment="1">
      <alignment horizontal="center"/>
    </xf>
    <xf numFmtId="0" fontId="7" fillId="5" borderId="4" xfId="2" applyBorder="1"/>
    <xf numFmtId="0" fontId="7" fillId="5" borderId="6" xfId="2" applyBorder="1"/>
    <xf numFmtId="0" fontId="7" fillId="5" borderId="9" xfId="2" applyBorder="1"/>
    <xf numFmtId="0" fontId="0" fillId="0" borderId="2" xfId="0" applyFont="1" applyBorder="1"/>
    <xf numFmtId="0" fontId="0" fillId="0" borderId="3" xfId="0" applyFont="1" applyBorder="1"/>
    <xf numFmtId="0" fontId="0" fillId="0" borderId="28" xfId="0" applyFont="1" applyBorder="1"/>
    <xf numFmtId="0" fontId="7" fillId="5" borderId="4" xfId="2" applyBorder="1" applyAlignment="1">
      <alignment horizontal="center" wrapText="1"/>
    </xf>
    <xf numFmtId="0" fontId="7" fillId="5" borderId="17" xfId="2" applyBorder="1" applyAlignment="1">
      <alignment horizontal="center" wrapText="1"/>
    </xf>
    <xf numFmtId="0" fontId="7" fillId="5" borderId="29" xfId="2" applyBorder="1"/>
    <xf numFmtId="0" fontId="7" fillId="5" borderId="30" xfId="2" applyBorder="1"/>
    <xf numFmtId="170" fontId="0" fillId="2" borderId="12" xfId="0" applyNumberFormat="1" applyFill="1" applyBorder="1"/>
    <xf numFmtId="169" fontId="0" fillId="2" borderId="1" xfId="0" applyNumberFormat="1" applyFont="1" applyFill="1" applyBorder="1"/>
    <xf numFmtId="167" fontId="0" fillId="2" borderId="1" xfId="0" applyNumberFormat="1" applyFont="1" applyFill="1" applyBorder="1"/>
    <xf numFmtId="165" fontId="0" fillId="2" borderId="1" xfId="0" applyNumberFormat="1" applyFont="1" applyFill="1" applyBorder="1"/>
    <xf numFmtId="2" fontId="0" fillId="2" borderId="13" xfId="0" applyNumberFormat="1" applyFill="1" applyBorder="1"/>
    <xf numFmtId="170" fontId="0" fillId="2" borderId="16" xfId="0" applyNumberFormat="1" applyFill="1" applyBorder="1"/>
    <xf numFmtId="1" fontId="1" fillId="0" borderId="5" xfId="0" applyNumberFormat="1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65" fontId="0" fillId="2" borderId="12" xfId="0" applyNumberFormat="1" applyFill="1" applyBorder="1"/>
    <xf numFmtId="164" fontId="0" fillId="2" borderId="1" xfId="0" applyNumberFormat="1" applyFill="1" applyBorder="1"/>
    <xf numFmtId="164" fontId="0" fillId="2" borderId="12" xfId="0" applyNumberFormat="1" applyFill="1" applyBorder="1"/>
    <xf numFmtId="164" fontId="0" fillId="2" borderId="1" xfId="0" applyNumberFormat="1" applyFont="1" applyFill="1" applyBorder="1"/>
    <xf numFmtId="0" fontId="10" fillId="0" borderId="0" xfId="0" applyFont="1"/>
    <xf numFmtId="167" fontId="0" fillId="4" borderId="18" xfId="0" applyNumberFormat="1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 applyAlignment="1">
      <alignment horizontal="center"/>
    </xf>
    <xf numFmtId="0" fontId="0" fillId="4" borderId="1" xfId="0" applyFill="1" applyBorder="1"/>
    <xf numFmtId="0" fontId="0" fillId="4" borderId="12" xfId="0" applyFill="1" applyBorder="1"/>
    <xf numFmtId="0" fontId="0" fillId="4" borderId="14" xfId="0" applyFill="1" applyBorder="1" applyAlignment="1">
      <alignment horizontal="center"/>
    </xf>
    <xf numFmtId="2" fontId="0" fillId="4" borderId="1" xfId="0" applyNumberFormat="1" applyFill="1" applyBorder="1"/>
    <xf numFmtId="1" fontId="0" fillId="4" borderId="14" xfId="0" applyNumberFormat="1" applyFill="1" applyBorder="1" applyAlignment="1">
      <alignment horizontal="center"/>
    </xf>
    <xf numFmtId="0" fontId="0" fillId="6" borderId="0" xfId="0" applyFont="1" applyFill="1"/>
    <xf numFmtId="0" fontId="0" fillId="6" borderId="0" xfId="0" applyFont="1" applyFill="1" applyBorder="1"/>
    <xf numFmtId="0" fontId="0" fillId="2" borderId="32" xfId="0" applyFill="1" applyBorder="1"/>
    <xf numFmtId="167" fontId="0" fillId="2" borderId="33" xfId="0" applyNumberFormat="1" applyFill="1" applyBorder="1"/>
    <xf numFmtId="0" fontId="0" fillId="2" borderId="34" xfId="0" applyFill="1" applyBorder="1"/>
    <xf numFmtId="167" fontId="0" fillId="2" borderId="34" xfId="0" applyNumberFormat="1" applyFill="1" applyBorder="1"/>
    <xf numFmtId="167" fontId="0" fillId="2" borderId="35" xfId="0" applyNumberFormat="1" applyFill="1" applyBorder="1"/>
    <xf numFmtId="0" fontId="1" fillId="6" borderId="5" xfId="0" applyFont="1" applyFill="1" applyBorder="1" applyAlignment="1">
      <alignment horizontal="center" wrapText="1"/>
    </xf>
    <xf numFmtId="0" fontId="0" fillId="4" borderId="32" xfId="0" applyFill="1" applyBorder="1"/>
    <xf numFmtId="167" fontId="0" fillId="4" borderId="34" xfId="0" applyNumberFormat="1" applyFill="1" applyBorder="1"/>
    <xf numFmtId="164" fontId="0" fillId="6" borderId="20" xfId="0" applyNumberForma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165" fontId="0" fillId="4" borderId="32" xfId="0" applyNumberFormat="1" applyFill="1" applyBorder="1"/>
    <xf numFmtId="165" fontId="0" fillId="4" borderId="34" xfId="0" applyNumberFormat="1" applyFill="1" applyBorder="1"/>
    <xf numFmtId="165" fontId="0" fillId="2" borderId="34" xfId="0" applyNumberFormat="1" applyFill="1" applyBorder="1"/>
    <xf numFmtId="164" fontId="0" fillId="6" borderId="15" xfId="0" applyNumberFormat="1" applyFill="1" applyBorder="1" applyAlignment="1">
      <alignment horizontal="center"/>
    </xf>
    <xf numFmtId="167" fontId="0" fillId="2" borderId="32" xfId="0" applyNumberFormat="1" applyFill="1" applyBorder="1"/>
    <xf numFmtId="0" fontId="0" fillId="0" borderId="31" xfId="0" applyFill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8" fillId="6" borderId="20" xfId="1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1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164" fontId="8" fillId="6" borderId="14" xfId="1" applyNumberFormat="1" applyFont="1" applyFill="1" applyBorder="1" applyAlignment="1">
      <alignment horizontal="center"/>
    </xf>
    <xf numFmtId="164" fontId="8" fillId="6" borderId="27" xfId="1" applyNumberFormat="1" applyFont="1" applyFill="1" applyBorder="1" applyAlignment="1">
      <alignment horizontal="center"/>
    </xf>
    <xf numFmtId="164" fontId="8" fillId="0" borderId="31" xfId="1" applyNumberFormat="1" applyFont="1" applyFill="1" applyBorder="1" applyAlignment="1">
      <alignment horizontal="center"/>
    </xf>
    <xf numFmtId="0" fontId="0" fillId="0" borderId="10" xfId="0" quotePrefix="1" applyBorder="1" applyAlignment="1">
      <alignment horizontal="center" vertical="top" wrapText="1"/>
    </xf>
    <xf numFmtId="167" fontId="0" fillId="0" borderId="29" xfId="0" applyNumberFormat="1" applyFill="1" applyBorder="1" applyAlignment="1">
      <alignment horizontal="center"/>
    </xf>
    <xf numFmtId="0" fontId="7" fillId="0" borderId="2" xfId="2" applyFill="1" applyBorder="1"/>
    <xf numFmtId="0" fontId="7" fillId="0" borderId="3" xfId="2" applyFill="1" applyBorder="1"/>
    <xf numFmtId="0" fontId="12" fillId="0" borderId="3" xfId="0" applyFont="1" applyBorder="1" applyAlignment="1">
      <alignment horizontal="center" wrapText="1"/>
    </xf>
    <xf numFmtId="0" fontId="7" fillId="0" borderId="0" xfId="2" applyFill="1"/>
    <xf numFmtId="1" fontId="1" fillId="4" borderId="10" xfId="0" applyNumberFormat="1" applyFont="1" applyFill="1" applyBorder="1" applyAlignment="1">
      <alignment horizontal="center"/>
    </xf>
    <xf numFmtId="2" fontId="8" fillId="6" borderId="14" xfId="1" applyNumberFormat="1" applyFont="1" applyFill="1" applyBorder="1" applyAlignment="1">
      <alignment horizontal="center"/>
    </xf>
    <xf numFmtId="2" fontId="8" fillId="6" borderId="36" xfId="1" applyNumberFormat="1" applyFont="1" applyFill="1" applyBorder="1" applyAlignment="1">
      <alignment horizontal="center"/>
    </xf>
    <xf numFmtId="2" fontId="8" fillId="6" borderId="15" xfId="1" applyNumberFormat="1" applyFont="1" applyFill="1" applyBorder="1" applyAlignment="1">
      <alignment horizontal="center"/>
    </xf>
    <xf numFmtId="164" fontId="8" fillId="0" borderId="30" xfId="1" applyNumberFormat="1" applyFont="1" applyFill="1" applyBorder="1" applyAlignment="1">
      <alignment horizontal="center"/>
    </xf>
    <xf numFmtId="0" fontId="0" fillId="0" borderId="30" xfId="0" applyBorder="1"/>
    <xf numFmtId="0" fontId="0" fillId="7" borderId="1" xfId="0" applyFill="1" applyBorder="1"/>
    <xf numFmtId="0" fontId="0" fillId="7" borderId="14" xfId="0" applyFill="1" applyBorder="1" applyAlignment="1">
      <alignment horizontal="center"/>
    </xf>
    <xf numFmtId="0" fontId="16" fillId="0" borderId="0" xfId="0" applyFont="1"/>
    <xf numFmtId="0" fontId="7" fillId="0" borderId="0" xfId="2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28" xfId="1" applyNumberFormat="1" applyFont="1" applyFill="1" applyBorder="1" applyAlignment="1">
      <alignment horizontal="center"/>
    </xf>
    <xf numFmtId="165" fontId="0" fillId="2" borderId="38" xfId="0" applyNumberFormat="1" applyFill="1" applyBorder="1"/>
    <xf numFmtId="166" fontId="0" fillId="2" borderId="39" xfId="0" applyNumberFormat="1" applyFill="1" applyBorder="1"/>
    <xf numFmtId="0" fontId="0" fillId="2" borderId="39" xfId="0" applyFill="1" applyBorder="1"/>
    <xf numFmtId="0" fontId="0" fillId="2" borderId="36" xfId="0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164" fontId="7" fillId="5" borderId="20" xfId="2" applyNumberFormat="1" applyBorder="1" applyAlignment="1">
      <alignment horizontal="center"/>
    </xf>
    <xf numFmtId="164" fontId="7" fillId="5" borderId="14" xfId="2" applyNumberFormat="1" applyBorder="1" applyAlignment="1">
      <alignment horizontal="center"/>
    </xf>
    <xf numFmtId="2" fontId="7" fillId="5" borderId="14" xfId="2" applyNumberFormat="1" applyBorder="1" applyAlignment="1">
      <alignment horizontal="center"/>
    </xf>
    <xf numFmtId="2" fontId="7" fillId="5" borderId="36" xfId="2" applyNumberFormat="1" applyBorder="1" applyAlignment="1">
      <alignment horizontal="center"/>
    </xf>
    <xf numFmtId="2" fontId="7" fillId="5" borderId="15" xfId="2" applyNumberFormat="1" applyBorder="1" applyAlignment="1">
      <alignment horizontal="center"/>
    </xf>
    <xf numFmtId="2" fontId="7" fillId="5" borderId="20" xfId="2" applyNumberFormat="1" applyBorder="1" applyAlignment="1">
      <alignment horizontal="center"/>
    </xf>
    <xf numFmtId="167" fontId="7" fillId="5" borderId="14" xfId="2" applyNumberFormat="1" applyBorder="1" applyAlignment="1">
      <alignment horizontal="center"/>
    </xf>
    <xf numFmtId="165" fontId="7" fillId="5" borderId="14" xfId="2" applyNumberFormat="1" applyBorder="1" applyAlignment="1">
      <alignment horizontal="center"/>
    </xf>
    <xf numFmtId="166" fontId="7" fillId="5" borderId="15" xfId="2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5" fontId="0" fillId="2" borderId="26" xfId="0" applyNumberFormat="1" applyFill="1" applyBorder="1"/>
    <xf numFmtId="165" fontId="0" fillId="2" borderId="42" xfId="0" applyNumberFormat="1" applyFill="1" applyBorder="1"/>
    <xf numFmtId="165" fontId="0" fillId="2" borderId="26" xfId="0" applyNumberFormat="1" applyFont="1" applyFill="1" applyBorder="1"/>
    <xf numFmtId="0" fontId="0" fillId="2" borderId="27" xfId="0" applyFill="1" applyBorder="1" applyAlignment="1">
      <alignment horizontal="center"/>
    </xf>
    <xf numFmtId="164" fontId="0" fillId="2" borderId="39" xfId="0" applyNumberFormat="1" applyFill="1" applyBorder="1"/>
    <xf numFmtId="164" fontId="0" fillId="2" borderId="40" xfId="0" applyNumberFormat="1" applyFill="1" applyBorder="1"/>
    <xf numFmtId="164" fontId="0" fillId="2" borderId="39" xfId="0" applyNumberFormat="1" applyFont="1" applyFill="1" applyBorder="1"/>
    <xf numFmtId="167" fontId="0" fillId="2" borderId="43" xfId="0" applyNumberFormat="1" applyFill="1" applyBorder="1"/>
    <xf numFmtId="0" fontId="0" fillId="2" borderId="43" xfId="0" applyFill="1" applyBorder="1"/>
    <xf numFmtId="2" fontId="0" fillId="2" borderId="43" xfId="0" applyNumberFormat="1" applyFill="1" applyBorder="1"/>
    <xf numFmtId="170" fontId="0" fillId="2" borderId="44" xfId="0" applyNumberFormat="1" applyFill="1" applyBorder="1"/>
    <xf numFmtId="169" fontId="0" fillId="2" borderId="43" xfId="0" applyNumberFormat="1" applyFont="1" applyFill="1" applyBorder="1"/>
    <xf numFmtId="167" fontId="0" fillId="2" borderId="43" xfId="0" applyNumberFormat="1" applyFont="1" applyFill="1" applyBorder="1"/>
    <xf numFmtId="0" fontId="0" fillId="2" borderId="43" xfId="0" applyFont="1" applyFill="1" applyBorder="1"/>
    <xf numFmtId="0" fontId="0" fillId="2" borderId="30" xfId="0" applyFill="1" applyBorder="1" applyAlignment="1">
      <alignment horizontal="center"/>
    </xf>
    <xf numFmtId="0" fontId="0" fillId="2" borderId="45" xfId="0" applyFill="1" applyBorder="1"/>
    <xf numFmtId="165" fontId="0" fillId="2" borderId="45" xfId="0" applyNumberFormat="1" applyFill="1" applyBorder="1"/>
    <xf numFmtId="165" fontId="0" fillId="2" borderId="46" xfId="0" applyNumberFormat="1" applyFill="1" applyBorder="1"/>
    <xf numFmtId="165" fontId="0" fillId="2" borderId="45" xfId="0" applyNumberFormat="1" applyFont="1" applyFill="1" applyBorder="1"/>
    <xf numFmtId="0" fontId="0" fillId="2" borderId="17" xfId="0" applyFill="1" applyBorder="1" applyAlignment="1">
      <alignment horizontal="center"/>
    </xf>
    <xf numFmtId="170" fontId="0" fillId="2" borderId="1" xfId="0" applyNumberFormat="1" applyFill="1" applyBorder="1"/>
    <xf numFmtId="0" fontId="1" fillId="0" borderId="4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167" fontId="0" fillId="2" borderId="47" xfId="0" applyNumberFormat="1" applyFill="1" applyBorder="1"/>
    <xf numFmtId="0" fontId="0" fillId="2" borderId="48" xfId="0" applyFont="1" applyFill="1" applyBorder="1"/>
    <xf numFmtId="167" fontId="0" fillId="2" borderId="49" xfId="0" applyNumberFormat="1" applyFill="1" applyBorder="1"/>
    <xf numFmtId="0" fontId="0" fillId="2" borderId="50" xfId="0" applyFont="1" applyFill="1" applyBorder="1"/>
    <xf numFmtId="167" fontId="0" fillId="2" borderId="51" xfId="0" applyNumberFormat="1" applyFill="1" applyBorder="1"/>
    <xf numFmtId="0" fontId="0" fillId="2" borderId="52" xfId="0" applyFont="1" applyFill="1" applyBorder="1"/>
    <xf numFmtId="164" fontId="0" fillId="2" borderId="50" xfId="0" applyNumberFormat="1" applyFont="1" applyFill="1" applyBorder="1"/>
    <xf numFmtId="167" fontId="0" fillId="2" borderId="53" xfId="0" applyNumberFormat="1" applyFill="1" applyBorder="1"/>
    <xf numFmtId="164" fontId="0" fillId="2" borderId="54" xfId="0" applyNumberFormat="1" applyFont="1" applyFill="1" applyBorder="1"/>
    <xf numFmtId="165" fontId="0" fillId="2" borderId="49" xfId="0" applyNumberFormat="1" applyFill="1" applyBorder="1"/>
    <xf numFmtId="165" fontId="0" fillId="2" borderId="55" xfId="0" applyNumberFormat="1" applyFill="1" applyBorder="1"/>
    <xf numFmtId="0" fontId="0" fillId="2" borderId="56" xfId="0" applyFont="1" applyFill="1" applyBorder="1"/>
    <xf numFmtId="0" fontId="18" fillId="7" borderId="0" xfId="0" applyFont="1" applyFill="1"/>
    <xf numFmtId="172" fontId="1" fillId="0" borderId="41" xfId="3" applyNumberFormat="1" applyFont="1" applyFill="1" applyBorder="1" applyAlignment="1">
      <alignment horizontal="center"/>
    </xf>
    <xf numFmtId="172" fontId="1" fillId="0" borderId="37" xfId="3" applyNumberFormat="1" applyFont="1" applyFill="1" applyBorder="1" applyAlignment="1">
      <alignment horizontal="center"/>
    </xf>
    <xf numFmtId="172" fontId="1" fillId="0" borderId="30" xfId="3" applyNumberFormat="1" applyFont="1" applyFill="1" applyBorder="1" applyAlignment="1">
      <alignment horizontal="center"/>
    </xf>
    <xf numFmtId="172" fontId="1" fillId="0" borderId="22" xfId="3" applyNumberFormat="1" applyFont="1" applyFill="1" applyBorder="1" applyAlignment="1">
      <alignment horizontal="center"/>
    </xf>
    <xf numFmtId="172" fontId="1" fillId="0" borderId="25" xfId="3" applyNumberFormat="1" applyFont="1" applyFill="1" applyBorder="1" applyAlignment="1">
      <alignment horizontal="center"/>
    </xf>
    <xf numFmtId="172" fontId="1" fillId="0" borderId="9" xfId="3" applyNumberFormat="1" applyFont="1" applyFill="1" applyBorder="1" applyAlignment="1">
      <alignment horizontal="center"/>
    </xf>
    <xf numFmtId="164" fontId="7" fillId="5" borderId="14" xfId="2" quotePrefix="1" applyNumberFormat="1" applyBorder="1" applyAlignment="1">
      <alignment horizontal="center"/>
    </xf>
    <xf numFmtId="167" fontId="0" fillId="4" borderId="1" xfId="0" applyNumberFormat="1" applyFill="1" applyBorder="1"/>
    <xf numFmtId="171" fontId="0" fillId="2" borderId="1" xfId="0" applyNumberFormat="1" applyFont="1" applyFill="1" applyBorder="1"/>
    <xf numFmtId="171" fontId="0" fillId="2" borderId="13" xfId="0" applyNumberFormat="1" applyFont="1" applyFill="1" applyBorder="1"/>
    <xf numFmtId="165" fontId="0" fillId="2" borderId="13" xfId="0" applyNumberFormat="1" applyFont="1" applyFill="1" applyBorder="1"/>
    <xf numFmtId="167" fontId="8" fillId="7" borderId="1" xfId="0" applyNumberFormat="1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2" fontId="0" fillId="0" borderId="0" xfId="0" applyNumberFormat="1" applyFont="1"/>
    <xf numFmtId="1" fontId="0" fillId="0" borderId="0" xfId="3" applyNumberFormat="1" applyFont="1" applyFill="1" applyBorder="1"/>
    <xf numFmtId="0" fontId="0" fillId="0" borderId="4" xfId="0" quotePrefix="1" applyBorder="1" applyAlignment="1">
      <alignment horizontal="center" vertical="top" wrapText="1"/>
    </xf>
    <xf numFmtId="1" fontId="1" fillId="4" borderId="5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1" fontId="0" fillId="0" borderId="0" xfId="0" applyNumberFormat="1" applyFont="1"/>
    <xf numFmtId="0" fontId="8" fillId="0" borderId="0" xfId="0" applyFont="1"/>
    <xf numFmtId="164" fontId="8" fillId="0" borderId="0" xfId="0" applyNumberFormat="1" applyFont="1" applyAlignment="1">
      <alignment horizontal="right"/>
    </xf>
    <xf numFmtId="0" fontId="24" fillId="0" borderId="0" xfId="0" applyFont="1"/>
    <xf numFmtId="164" fontId="24" fillId="0" borderId="0" xfId="0" applyNumberFormat="1" applyFont="1"/>
    <xf numFmtId="164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167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164" fontId="0" fillId="6" borderId="0" xfId="0" applyNumberFormat="1" applyFont="1" applyFill="1"/>
    <xf numFmtId="0" fontId="0" fillId="6" borderId="0" xfId="0" applyFont="1" applyFill="1" applyAlignment="1">
      <alignment horizontal="right"/>
    </xf>
    <xf numFmtId="164" fontId="8" fillId="6" borderId="0" xfId="0" applyNumberFormat="1" applyFont="1" applyFill="1" applyAlignment="1">
      <alignment horizontal="right"/>
    </xf>
    <xf numFmtId="167" fontId="8" fillId="6" borderId="0" xfId="0" applyNumberFormat="1" applyFont="1" applyFill="1" applyAlignment="1">
      <alignment horizontal="right"/>
    </xf>
    <xf numFmtId="2" fontId="8" fillId="6" borderId="0" xfId="0" applyNumberFormat="1" applyFont="1" applyFill="1" applyAlignment="1">
      <alignment horizontal="right"/>
    </xf>
    <xf numFmtId="0" fontId="7" fillId="5" borderId="71" xfId="2" applyBorder="1" applyProtection="1">
      <protection locked="0"/>
    </xf>
    <xf numFmtId="0" fontId="7" fillId="5" borderId="22" xfId="2" applyBorder="1" applyProtection="1">
      <protection locked="0"/>
    </xf>
    <xf numFmtId="0" fontId="7" fillId="5" borderId="25" xfId="2" applyBorder="1" applyProtection="1">
      <protection locked="0"/>
    </xf>
    <xf numFmtId="0" fontId="7" fillId="5" borderId="9" xfId="2" applyBorder="1" applyProtection="1">
      <protection locked="0"/>
    </xf>
    <xf numFmtId="0" fontId="7" fillId="5" borderId="23" xfId="2" applyBorder="1" applyProtection="1">
      <protection locked="0"/>
    </xf>
    <xf numFmtId="0" fontId="4" fillId="3" borderId="23" xfId="1" applyBorder="1" applyProtection="1">
      <protection locked="0"/>
    </xf>
    <xf numFmtId="0" fontId="7" fillId="5" borderId="24" xfId="2" applyBorder="1" applyProtection="1">
      <protection locked="0"/>
    </xf>
    <xf numFmtId="0" fontId="7" fillId="5" borderId="41" xfId="2" applyBorder="1" applyProtection="1">
      <protection locked="0"/>
    </xf>
    <xf numFmtId="0" fontId="7" fillId="5" borderId="57" xfId="2" applyBorder="1" applyProtection="1">
      <protection locked="0"/>
    </xf>
    <xf numFmtId="0" fontId="7" fillId="5" borderId="58" xfId="2" applyBorder="1" applyProtection="1">
      <protection locked="0"/>
    </xf>
    <xf numFmtId="0" fontId="7" fillId="5" borderId="65" xfId="2" applyBorder="1" applyProtection="1">
      <protection locked="0"/>
    </xf>
    <xf numFmtId="0" fontId="7" fillId="5" borderId="64" xfId="2" applyBorder="1" applyProtection="1">
      <protection locked="0"/>
    </xf>
    <xf numFmtId="0" fontId="16" fillId="0" borderId="0" xfId="0" applyFont="1" applyProtection="1"/>
    <xf numFmtId="0" fontId="0" fillId="0" borderId="0" xfId="0" applyFont="1" applyProtection="1"/>
    <xf numFmtId="0" fontId="7" fillId="0" borderId="1" xfId="2" applyFill="1" applyBorder="1" applyAlignment="1" applyProtection="1">
      <alignment horizontal="center"/>
    </xf>
    <xf numFmtId="0" fontId="7" fillId="5" borderId="0" xfId="2" applyProtection="1"/>
    <xf numFmtId="0" fontId="7" fillId="0" borderId="0" xfId="2" applyFill="1" applyProtection="1"/>
    <xf numFmtId="0" fontId="0" fillId="0" borderId="0" xfId="0" applyProtection="1"/>
    <xf numFmtId="0" fontId="0" fillId="4" borderId="0" xfId="0" applyFont="1" applyFill="1" applyProtection="1"/>
    <xf numFmtId="0" fontId="0" fillId="4" borderId="0" xfId="0" applyFill="1" applyProtection="1"/>
    <xf numFmtId="0" fontId="18" fillId="0" borderId="0" xfId="0" applyFont="1" applyFill="1" applyProtection="1"/>
    <xf numFmtId="0" fontId="12" fillId="0" borderId="3" xfId="0" applyFont="1" applyBorder="1" applyAlignment="1" applyProtection="1">
      <alignment horizontal="center" wrapText="1"/>
    </xf>
    <xf numFmtId="0" fontId="33" fillId="0" borderId="0" xfId="0" applyFont="1" applyAlignment="1" applyProtection="1">
      <alignment horizontal="center" wrapText="1"/>
    </xf>
    <xf numFmtId="0" fontId="0" fillId="0" borderId="0" xfId="0" applyFont="1" applyBorder="1" applyProtection="1"/>
    <xf numFmtId="0" fontId="0" fillId="0" borderId="0" xfId="0" applyFont="1" applyAlignment="1" applyProtection="1">
      <alignment horizontal="center"/>
    </xf>
    <xf numFmtId="0" fontId="7" fillId="5" borderId="4" xfId="2" applyBorder="1" applyAlignment="1" applyProtection="1">
      <alignment horizontal="center" wrapText="1"/>
    </xf>
    <xf numFmtId="0" fontId="7" fillId="5" borderId="17" xfId="2" applyBorder="1" applyAlignment="1" applyProtection="1">
      <alignment horizontal="center" wrapText="1"/>
    </xf>
    <xf numFmtId="0" fontId="0" fillId="0" borderId="7" xfId="0" applyFont="1" applyBorder="1" applyAlignment="1" applyProtection="1">
      <alignment horizontal="center" wrapText="1"/>
    </xf>
    <xf numFmtId="0" fontId="0" fillId="0" borderId="2" xfId="0" quotePrefix="1" applyBorder="1" applyAlignment="1" applyProtection="1">
      <alignment horizontal="center" vertical="top" wrapText="1"/>
    </xf>
    <xf numFmtId="0" fontId="1" fillId="6" borderId="2" xfId="0" applyFont="1" applyFill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11" fillId="2" borderId="31" xfId="0" applyFont="1" applyFill="1" applyBorder="1" applyAlignment="1" applyProtection="1">
      <alignment horizontal="center"/>
    </xf>
    <xf numFmtId="174" fontId="29" fillId="0" borderId="49" xfId="0" applyNumberFormat="1" applyFont="1" applyFill="1" applyBorder="1" applyAlignment="1" applyProtection="1">
      <alignment wrapText="1"/>
    </xf>
    <xf numFmtId="174" fontId="29" fillId="0" borderId="1" xfId="0" applyNumberFormat="1" applyFont="1" applyFill="1" applyBorder="1" applyAlignment="1" applyProtection="1">
      <alignment wrapText="1"/>
    </xf>
    <xf numFmtId="174" fontId="29" fillId="9" borderId="39" xfId="0" applyNumberFormat="1" applyFont="1" applyFill="1" applyBorder="1" applyAlignment="1" applyProtection="1">
      <alignment wrapText="1"/>
    </xf>
    <xf numFmtId="174" fontId="29" fillId="9" borderId="39" xfId="0" applyNumberFormat="1" applyFont="1" applyFill="1" applyBorder="1" applyAlignment="1" applyProtection="1">
      <alignment horizontal="right" wrapText="1"/>
    </xf>
    <xf numFmtId="174" fontId="29" fillId="0" borderId="39" xfId="0" applyNumberFormat="1" applyFont="1" applyFill="1" applyBorder="1" applyAlignment="1" applyProtection="1">
      <alignment wrapText="1"/>
    </xf>
    <xf numFmtId="174" fontId="29" fillId="9" borderId="39" xfId="0" applyNumberFormat="1" applyFont="1" applyFill="1" applyBorder="1" applyProtection="1"/>
    <xf numFmtId="0" fontId="1" fillId="0" borderId="82" xfId="0" applyFont="1" applyBorder="1" applyAlignment="1" applyProtection="1">
      <alignment horizontal="center"/>
    </xf>
    <xf numFmtId="0" fontId="0" fillId="0" borderId="71" xfId="0" applyBorder="1" applyAlignment="1" applyProtection="1">
      <alignment horizontal="right"/>
    </xf>
    <xf numFmtId="2" fontId="0" fillId="0" borderId="72" xfId="0" applyNumberFormat="1" applyBorder="1" applyAlignment="1" applyProtection="1">
      <alignment horizontal="center"/>
    </xf>
    <xf numFmtId="164" fontId="8" fillId="6" borderId="22" xfId="1" applyNumberFormat="1" applyFont="1" applyFill="1" applyBorder="1" applyAlignment="1" applyProtection="1">
      <alignment horizontal="center"/>
    </xf>
    <xf numFmtId="0" fontId="0" fillId="2" borderId="47" xfId="0" applyFill="1" applyBorder="1" applyProtection="1"/>
    <xf numFmtId="0" fontId="0" fillId="2" borderId="45" xfId="0" applyFill="1" applyBorder="1" applyProtection="1"/>
    <xf numFmtId="0" fontId="0" fillId="0" borderId="101" xfId="0" applyFont="1" applyFill="1" applyBorder="1" applyProtection="1"/>
    <xf numFmtId="0" fontId="0" fillId="0" borderId="91" xfId="0" applyFont="1" applyFill="1" applyBorder="1" applyProtection="1"/>
    <xf numFmtId="0" fontId="0" fillId="9" borderId="89" xfId="0" applyFill="1" applyBorder="1" applyProtection="1"/>
    <xf numFmtId="164" fontId="0" fillId="0" borderId="89" xfId="0" applyNumberFormat="1" applyFont="1" applyFill="1" applyBorder="1" applyAlignment="1" applyProtection="1">
      <alignment horizontal="right"/>
    </xf>
    <xf numFmtId="0" fontId="0" fillId="9" borderId="89" xfId="0" applyFont="1" applyFill="1" applyBorder="1" applyProtection="1"/>
    <xf numFmtId="0" fontId="1" fillId="0" borderId="73" xfId="0" applyFont="1" applyBorder="1" applyAlignment="1" applyProtection="1">
      <alignment horizontal="center"/>
    </xf>
    <xf numFmtId="0" fontId="0" fillId="0" borderId="70" xfId="0" applyBorder="1" applyAlignment="1" applyProtection="1">
      <alignment horizontal="right"/>
    </xf>
    <xf numFmtId="2" fontId="0" fillId="0" borderId="0" xfId="0" applyNumberFormat="1" applyBorder="1" applyAlignment="1" applyProtection="1">
      <alignment horizontal="center"/>
    </xf>
    <xf numFmtId="164" fontId="8" fillId="6" borderId="100" xfId="1" applyNumberFormat="1" applyFont="1" applyFill="1" applyBorder="1" applyAlignment="1" applyProtection="1">
      <alignment horizontal="center"/>
    </xf>
    <xf numFmtId="0" fontId="0" fillId="2" borderId="49" xfId="0" applyFill="1" applyBorder="1" applyProtection="1"/>
    <xf numFmtId="0" fontId="0" fillId="2" borderId="1" xfId="0" applyFill="1" applyBorder="1" applyProtection="1"/>
    <xf numFmtId="0" fontId="0" fillId="0" borderId="92" xfId="0" applyFont="1" applyFill="1" applyBorder="1" applyProtection="1"/>
    <xf numFmtId="0" fontId="4" fillId="9" borderId="91" xfId="1" applyFill="1" applyBorder="1" applyProtection="1"/>
    <xf numFmtId="0" fontId="4" fillId="9" borderId="92" xfId="1" applyFill="1" applyBorder="1" applyProtection="1"/>
    <xf numFmtId="164" fontId="0" fillId="0" borderId="91" xfId="0" applyNumberFormat="1" applyFont="1" applyFill="1" applyBorder="1" applyAlignment="1" applyProtection="1">
      <alignment horizontal="right"/>
    </xf>
    <xf numFmtId="164" fontId="0" fillId="0" borderId="92" xfId="0" applyNumberFormat="1" applyFont="1" applyFill="1" applyBorder="1" applyAlignment="1" applyProtection="1">
      <alignment horizontal="right"/>
    </xf>
    <xf numFmtId="0" fontId="0" fillId="9" borderId="91" xfId="0" applyFont="1" applyFill="1" applyBorder="1" applyProtection="1"/>
    <xf numFmtId="0" fontId="1" fillId="0" borderId="11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right"/>
    </xf>
    <xf numFmtId="2" fontId="0" fillId="0" borderId="11" xfId="0" applyNumberFormat="1" applyBorder="1" applyAlignment="1" applyProtection="1">
      <alignment horizontal="center"/>
    </xf>
    <xf numFmtId="164" fontId="8" fillId="6" borderId="9" xfId="1" applyNumberFormat="1" applyFont="1" applyFill="1" applyBorder="1" applyAlignment="1" applyProtection="1">
      <alignment horizontal="center"/>
    </xf>
    <xf numFmtId="0" fontId="0" fillId="2" borderId="55" xfId="0" applyFill="1" applyBorder="1" applyProtection="1"/>
    <xf numFmtId="0" fontId="0" fillId="2" borderId="43" xfId="0" applyFill="1" applyBorder="1" applyProtection="1"/>
    <xf numFmtId="0" fontId="0" fillId="0" borderId="33" xfId="0" applyFont="1" applyFill="1" applyBorder="1" applyProtection="1"/>
    <xf numFmtId="0" fontId="0" fillId="0" borderId="26" xfId="0" applyFont="1" applyFill="1" applyBorder="1" applyProtection="1"/>
    <xf numFmtId="0" fontId="0" fillId="0" borderId="42" xfId="0" applyFont="1" applyFill="1" applyBorder="1" applyProtection="1"/>
    <xf numFmtId="0" fontId="4" fillId="9" borderId="26" xfId="1" applyFill="1" applyBorder="1" applyProtection="1"/>
    <xf numFmtId="0" fontId="4" fillId="9" borderId="42" xfId="1" applyFill="1" applyBorder="1" applyProtection="1"/>
    <xf numFmtId="164" fontId="0" fillId="0" borderId="26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</xf>
    <xf numFmtId="0" fontId="0" fillId="9" borderId="26" xfId="0" applyFont="1" applyFill="1" applyBorder="1" applyProtection="1"/>
    <xf numFmtId="0" fontId="0" fillId="0" borderId="6" xfId="0" applyFont="1" applyBorder="1" applyProtection="1"/>
    <xf numFmtId="0" fontId="0" fillId="0" borderId="29" xfId="0" applyBorder="1" applyAlignment="1" applyProtection="1">
      <alignment horizontal="right"/>
    </xf>
    <xf numFmtId="164" fontId="0" fillId="0" borderId="0" xfId="0" applyNumberFormat="1" applyAlignment="1" applyProtection="1">
      <alignment horizontal="center"/>
    </xf>
    <xf numFmtId="164" fontId="8" fillId="6" borderId="6" xfId="1" applyNumberFormat="1" applyFont="1" applyFill="1" applyBorder="1" applyAlignment="1" applyProtection="1">
      <alignment horizontal="center"/>
    </xf>
    <xf numFmtId="167" fontId="0" fillId="0" borderId="6" xfId="0" applyNumberFormat="1" applyBorder="1" applyProtection="1"/>
    <xf numFmtId="0" fontId="0" fillId="0" borderId="0" xfId="0" applyBorder="1" applyProtection="1"/>
    <xf numFmtId="0" fontId="0" fillId="0" borderId="29" xfId="0" applyBorder="1" applyProtection="1"/>
    <xf numFmtId="0" fontId="4" fillId="0" borderId="67" xfId="1" applyFill="1" applyBorder="1" applyProtection="1"/>
    <xf numFmtId="0" fontId="4" fillId="0" borderId="66" xfId="1" applyFill="1" applyBorder="1" applyProtection="1"/>
    <xf numFmtId="0" fontId="4" fillId="0" borderId="34" xfId="1" applyFill="1" applyBorder="1" applyProtection="1"/>
    <xf numFmtId="0" fontId="4" fillId="0" borderId="61" xfId="1" applyFill="1" applyBorder="1" applyProtection="1"/>
    <xf numFmtId="0" fontId="4" fillId="0" borderId="0" xfId="1" applyFill="1" applyBorder="1" applyProtection="1"/>
    <xf numFmtId="0" fontId="0" fillId="0" borderId="0" xfId="0" applyFont="1" applyFill="1" applyBorder="1" applyProtection="1"/>
    <xf numFmtId="0" fontId="0" fillId="0" borderId="61" xfId="0" applyFont="1" applyFill="1" applyBorder="1" applyProtection="1"/>
    <xf numFmtId="0" fontId="0" fillId="0" borderId="59" xfId="0" applyFont="1" applyFill="1" applyBorder="1" applyProtection="1"/>
    <xf numFmtId="0" fontId="0" fillId="0" borderId="0" xfId="0" applyFont="1" applyFill="1" applyProtection="1"/>
    <xf numFmtId="2" fontId="0" fillId="0" borderId="10" xfId="0" applyNumberFormat="1" applyBorder="1" applyAlignment="1" applyProtection="1">
      <alignment horizontal="center"/>
    </xf>
    <xf numFmtId="164" fontId="8" fillId="6" borderId="4" xfId="1" applyNumberFormat="1" applyFont="1" applyFill="1" applyBorder="1" applyAlignment="1" applyProtection="1">
      <alignment horizontal="center"/>
    </xf>
    <xf numFmtId="0" fontId="0" fillId="2" borderId="63" xfId="0" applyFill="1" applyBorder="1" applyProtection="1"/>
    <xf numFmtId="0" fontId="0" fillId="2" borderId="18" xfId="0" applyFill="1" applyBorder="1" applyProtection="1"/>
    <xf numFmtId="0" fontId="4" fillId="3" borderId="20" xfId="1" applyBorder="1" applyAlignment="1" applyProtection="1">
      <alignment horizontal="center"/>
    </xf>
    <xf numFmtId="2" fontId="0" fillId="0" borderId="89" xfId="0" applyNumberFormat="1" applyFont="1" applyFill="1" applyBorder="1" applyAlignment="1" applyProtection="1">
      <alignment horizontal="right"/>
    </xf>
    <xf numFmtId="164" fontId="0" fillId="9" borderId="89" xfId="0" applyNumberFormat="1" applyFont="1" applyFill="1" applyBorder="1" applyAlignment="1" applyProtection="1">
      <alignment horizontal="right"/>
    </xf>
    <xf numFmtId="164" fontId="0" fillId="0" borderId="0" xfId="0" applyNumberFormat="1" applyFont="1" applyProtection="1"/>
    <xf numFmtId="164" fontId="8" fillId="6" borderId="65" xfId="1" applyNumberFormat="1" applyFont="1" applyFill="1" applyBorder="1" applyAlignment="1" applyProtection="1">
      <alignment horizontal="center"/>
    </xf>
    <xf numFmtId="167" fontId="0" fillId="2" borderId="51" xfId="0" applyNumberFormat="1" applyFill="1" applyBorder="1" applyProtection="1"/>
    <xf numFmtId="2" fontId="0" fillId="2" borderId="26" xfId="0" applyNumberFormat="1" applyFill="1" applyBorder="1" applyProtection="1"/>
    <xf numFmtId="0" fontId="0" fillId="2" borderId="26" xfId="0" applyFill="1" applyBorder="1" applyProtection="1"/>
    <xf numFmtId="0" fontId="0" fillId="2" borderId="14" xfId="0" applyFill="1" applyBorder="1" applyAlignment="1" applyProtection="1">
      <alignment horizontal="center"/>
    </xf>
    <xf numFmtId="0" fontId="0" fillId="0" borderId="60" xfId="0" applyFont="1" applyFill="1" applyBorder="1" applyProtection="1"/>
    <xf numFmtId="0" fontId="0" fillId="9" borderId="60" xfId="0" applyFont="1" applyFill="1" applyBorder="1" applyProtection="1"/>
    <xf numFmtId="0" fontId="0" fillId="9" borderId="61" xfId="0" applyFont="1" applyFill="1" applyBorder="1" applyProtection="1"/>
    <xf numFmtId="2" fontId="0" fillId="0" borderId="60" xfId="0" applyNumberFormat="1" applyFont="1" applyFill="1" applyBorder="1" applyAlignment="1" applyProtection="1">
      <alignment horizontal="right"/>
    </xf>
    <xf numFmtId="2" fontId="0" fillId="0" borderId="61" xfId="0" applyNumberFormat="1" applyFont="1" applyFill="1" applyBorder="1" applyAlignment="1" applyProtection="1">
      <alignment horizontal="right"/>
    </xf>
    <xf numFmtId="164" fontId="0" fillId="9" borderId="60" xfId="0" applyNumberFormat="1" applyFont="1" applyFill="1" applyBorder="1" applyAlignment="1" applyProtection="1">
      <alignment horizontal="right"/>
    </xf>
    <xf numFmtId="1" fontId="1" fillId="0" borderId="73" xfId="0" applyNumberFormat="1" applyFont="1" applyBorder="1" applyAlignment="1" applyProtection="1">
      <alignment horizontal="center"/>
    </xf>
    <xf numFmtId="0" fontId="0" fillId="0" borderId="77" xfId="0" applyBorder="1" applyAlignment="1" applyProtection="1">
      <alignment horizontal="right"/>
    </xf>
    <xf numFmtId="167" fontId="0" fillId="2" borderId="1" xfId="0" applyNumberFormat="1" applyFill="1" applyBorder="1" applyProtection="1"/>
    <xf numFmtId="0" fontId="0" fillId="0" borderId="97" xfId="0" applyFont="1" applyFill="1" applyBorder="1" applyProtection="1"/>
    <xf numFmtId="0" fontId="0" fillId="0" borderId="90" xfId="0" applyFont="1" applyFill="1" applyBorder="1" applyProtection="1"/>
    <xf numFmtId="0" fontId="0" fillId="0" borderId="93" xfId="0" applyFont="1" applyFill="1" applyBorder="1" applyProtection="1"/>
    <xf numFmtId="0" fontId="0" fillId="9" borderId="90" xfId="0" applyFont="1" applyFill="1" applyBorder="1" applyProtection="1"/>
    <xf numFmtId="0" fontId="0" fillId="9" borderId="93" xfId="0" applyFont="1" applyFill="1" applyBorder="1" applyProtection="1"/>
    <xf numFmtId="2" fontId="0" fillId="0" borderId="90" xfId="0" applyNumberFormat="1" applyFont="1" applyFill="1" applyBorder="1" applyAlignment="1" applyProtection="1">
      <alignment horizontal="right"/>
    </xf>
    <xf numFmtId="2" fontId="0" fillId="0" borderId="93" xfId="0" applyNumberFormat="1" applyFont="1" applyFill="1" applyBorder="1" applyAlignment="1" applyProtection="1">
      <alignment horizontal="right"/>
    </xf>
    <xf numFmtId="164" fontId="0" fillId="9" borderId="90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167" fontId="0" fillId="2" borderId="49" xfId="0" applyNumberFormat="1" applyFill="1" applyBorder="1" applyProtection="1"/>
    <xf numFmtId="164" fontId="8" fillId="6" borderId="23" xfId="1" applyNumberFormat="1" applyFont="1" applyFill="1" applyBorder="1" applyAlignment="1" applyProtection="1">
      <alignment horizontal="center"/>
    </xf>
    <xf numFmtId="1" fontId="0" fillId="9" borderId="93" xfId="0" applyNumberFormat="1" applyFont="1" applyFill="1" applyBorder="1" applyProtection="1"/>
    <xf numFmtId="167" fontId="0" fillId="0" borderId="0" xfId="0" applyNumberFormat="1" applyBorder="1" applyAlignment="1" applyProtection="1">
      <alignment horizontal="center"/>
    </xf>
    <xf numFmtId="2" fontId="8" fillId="6" borderId="6" xfId="1" applyNumberFormat="1" applyFont="1" applyFill="1" applyBorder="1" applyAlignment="1" applyProtection="1">
      <alignment horizontal="center"/>
    </xf>
    <xf numFmtId="2" fontId="0" fillId="9" borderId="90" xfId="0" applyNumberFormat="1" applyFont="1" applyFill="1" applyBorder="1" applyAlignment="1" applyProtection="1">
      <alignment horizontal="right"/>
    </xf>
    <xf numFmtId="2" fontId="8" fillId="6" borderId="65" xfId="1" applyNumberFormat="1" applyFont="1" applyFill="1" applyBorder="1" applyAlignment="1" applyProtection="1">
      <alignment horizontal="center"/>
    </xf>
    <xf numFmtId="165" fontId="0" fillId="2" borderId="1" xfId="0" applyNumberFormat="1" applyFill="1" applyBorder="1" applyProtection="1"/>
    <xf numFmtId="1" fontId="1" fillId="0" borderId="11" xfId="0" applyNumberFormat="1" applyFont="1" applyBorder="1" applyAlignment="1" applyProtection="1">
      <alignment horizontal="center"/>
    </xf>
    <xf numFmtId="167" fontId="0" fillId="0" borderId="11" xfId="0" applyNumberFormat="1" applyBorder="1" applyAlignment="1" applyProtection="1">
      <alignment horizontal="center"/>
    </xf>
    <xf numFmtId="2" fontId="8" fillId="6" borderId="24" xfId="1" applyNumberFormat="1" applyFont="1" applyFill="1" applyBorder="1" applyAlignment="1" applyProtection="1">
      <alignment horizontal="center"/>
    </xf>
    <xf numFmtId="167" fontId="0" fillId="2" borderId="62" xfId="0" applyNumberFormat="1" applyFill="1" applyBorder="1" applyProtection="1"/>
    <xf numFmtId="0" fontId="0" fillId="2" borderId="13" xfId="0" applyFill="1" applyBorder="1" applyProtection="1"/>
    <xf numFmtId="0" fontId="0" fillId="2" borderId="15" xfId="0" applyFill="1" applyBorder="1" applyAlignment="1" applyProtection="1">
      <alignment horizontal="center"/>
    </xf>
    <xf numFmtId="1" fontId="0" fillId="9" borderId="42" xfId="0" applyNumberFormat="1" applyFont="1" applyFill="1" applyBorder="1" applyProtection="1"/>
    <xf numFmtId="2" fontId="0" fillId="0" borderId="26" xfId="0" applyNumberFormat="1" applyFont="1" applyFill="1" applyBorder="1" applyAlignment="1" applyProtection="1">
      <alignment horizontal="right"/>
    </xf>
    <xf numFmtId="2" fontId="0" fillId="0" borderId="42" xfId="0" applyNumberFormat="1" applyFont="1" applyFill="1" applyBorder="1" applyAlignment="1" applyProtection="1">
      <alignment horizontal="right"/>
    </xf>
    <xf numFmtId="2" fontId="0" fillId="9" borderId="26" xfId="0" applyNumberFormat="1" applyFont="1" applyFill="1" applyBorder="1" applyAlignment="1" applyProtection="1">
      <alignment horizontal="right"/>
    </xf>
    <xf numFmtId="0" fontId="0" fillId="0" borderId="17" xfId="0" applyBorder="1" applyAlignment="1" applyProtection="1">
      <alignment horizontal="right"/>
    </xf>
    <xf numFmtId="164" fontId="8" fillId="6" borderId="29" xfId="1" applyNumberFormat="1" applyFont="1" applyFill="1" applyBorder="1" applyAlignment="1" applyProtection="1">
      <alignment horizontal="center"/>
    </xf>
    <xf numFmtId="167" fontId="0" fillId="0" borderId="0" xfId="0" applyNumberFormat="1" applyBorder="1" applyProtection="1"/>
    <xf numFmtId="2" fontId="0" fillId="0" borderId="0" xfId="0" applyNumberFormat="1" applyFont="1" applyFill="1" applyBorder="1" applyAlignment="1" applyProtection="1">
      <alignment horizontal="right"/>
    </xf>
    <xf numFmtId="164" fontId="0" fillId="0" borderId="61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4" fontId="0" fillId="0" borderId="59" xfId="0" applyNumberFormat="1" applyFont="1" applyFill="1" applyBorder="1" applyAlignment="1" applyProtection="1">
      <alignment horizontal="right"/>
    </xf>
    <xf numFmtId="1" fontId="1" fillId="4" borderId="81" xfId="0" applyNumberFormat="1" applyFont="1" applyFill="1" applyBorder="1" applyAlignment="1" applyProtection="1">
      <alignment horizontal="center"/>
    </xf>
    <xf numFmtId="164" fontId="0" fillId="0" borderId="72" xfId="0" applyNumberFormat="1" applyBorder="1" applyAlignment="1" applyProtection="1">
      <alignment horizontal="center"/>
    </xf>
    <xf numFmtId="0" fontId="0" fillId="4" borderId="47" xfId="0" applyFill="1" applyBorder="1" applyProtection="1"/>
    <xf numFmtId="0" fontId="0" fillId="4" borderId="45" xfId="0" applyFill="1" applyBorder="1" applyProtection="1"/>
    <xf numFmtId="0" fontId="0" fillId="4" borderId="17" xfId="0" applyFill="1" applyBorder="1" applyAlignment="1" applyProtection="1">
      <alignment horizontal="center"/>
    </xf>
    <xf numFmtId="0" fontId="0" fillId="0" borderId="107" xfId="0" applyFont="1" applyFill="1" applyBorder="1" applyProtection="1"/>
    <xf numFmtId="0" fontId="0" fillId="0" borderId="76" xfId="0" applyFont="1" applyFill="1" applyBorder="1" applyProtection="1"/>
    <xf numFmtId="0" fontId="0" fillId="0" borderId="106" xfId="0" applyFont="1" applyFill="1" applyBorder="1" applyProtection="1"/>
    <xf numFmtId="0" fontId="0" fillId="9" borderId="76" xfId="0" applyFont="1" applyFill="1" applyBorder="1" applyProtection="1"/>
    <xf numFmtId="0" fontId="0" fillId="9" borderId="106" xfId="0" applyFont="1" applyFill="1" applyBorder="1" applyProtection="1"/>
    <xf numFmtId="2" fontId="0" fillId="0" borderId="76" xfId="0" applyNumberFormat="1" applyFont="1" applyFill="1" applyBorder="1" applyAlignment="1" applyProtection="1">
      <alignment horizontal="right"/>
    </xf>
    <xf numFmtId="2" fontId="0" fillId="0" borderId="106" xfId="0" applyNumberFormat="1" applyFont="1" applyFill="1" applyBorder="1" applyAlignment="1" applyProtection="1">
      <alignment horizontal="right"/>
    </xf>
    <xf numFmtId="164" fontId="0" fillId="9" borderId="76" xfId="0" applyNumberFormat="1" applyFont="1" applyFill="1" applyBorder="1" applyAlignment="1" applyProtection="1">
      <alignment horizontal="right"/>
    </xf>
    <xf numFmtId="1" fontId="1" fillId="4" borderId="0" xfId="0" applyNumberFormat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7" fontId="0" fillId="4" borderId="49" xfId="0" applyNumberFormat="1" applyFill="1" applyBorder="1" applyProtection="1"/>
    <xf numFmtId="2" fontId="0" fillId="4" borderId="1" xfId="0" applyNumberFormat="1" applyFill="1" applyBorder="1" applyProtection="1"/>
    <xf numFmtId="0" fontId="0" fillId="4" borderId="1" xfId="0" applyFill="1" applyBorder="1" applyProtection="1"/>
    <xf numFmtId="0" fontId="0" fillId="0" borderId="74" xfId="0" applyFont="1" applyFill="1" applyBorder="1" applyProtection="1"/>
    <xf numFmtId="0" fontId="0" fillId="0" borderId="75" xfId="0" applyFont="1" applyFill="1" applyBorder="1" applyProtection="1"/>
    <xf numFmtId="0" fontId="0" fillId="0" borderId="86" xfId="0" applyFont="1" applyFill="1" applyBorder="1" applyProtection="1"/>
    <xf numFmtId="0" fontId="0" fillId="9" borderId="75" xfId="0" applyFont="1" applyFill="1" applyBorder="1" applyProtection="1"/>
    <xf numFmtId="0" fontId="0" fillId="9" borderId="86" xfId="0" applyFont="1" applyFill="1" applyBorder="1" applyProtection="1"/>
    <xf numFmtId="2" fontId="0" fillId="0" borderId="75" xfId="0" applyNumberFormat="1" applyFont="1" applyFill="1" applyBorder="1" applyAlignment="1" applyProtection="1">
      <alignment horizontal="right"/>
    </xf>
    <xf numFmtId="2" fontId="0" fillId="0" borderId="86" xfId="0" applyNumberFormat="1" applyFont="1" applyFill="1" applyBorder="1" applyAlignment="1" applyProtection="1">
      <alignment horizontal="right"/>
    </xf>
    <xf numFmtId="164" fontId="0" fillId="9" borderId="75" xfId="0" applyNumberFormat="1" applyFont="1" applyFill="1" applyBorder="1" applyAlignment="1" applyProtection="1">
      <alignment horizontal="right"/>
    </xf>
    <xf numFmtId="0" fontId="0" fillId="0" borderId="99" xfId="0" applyFont="1" applyFill="1" applyBorder="1" applyProtection="1"/>
    <xf numFmtId="0" fontId="0" fillId="0" borderId="94" xfId="0" applyFont="1" applyFill="1" applyBorder="1" applyProtection="1"/>
    <xf numFmtId="0" fontId="0" fillId="0" borderId="95" xfId="0" applyFont="1" applyFill="1" applyBorder="1" applyProtection="1"/>
    <xf numFmtId="0" fontId="0" fillId="9" borderId="94" xfId="0" applyFont="1" applyFill="1" applyBorder="1" applyProtection="1"/>
    <xf numFmtId="0" fontId="0" fillId="9" borderId="95" xfId="0" applyFont="1" applyFill="1" applyBorder="1" applyProtection="1"/>
    <xf numFmtId="2" fontId="0" fillId="0" borderId="94" xfId="0" applyNumberFormat="1" applyFont="1" applyFill="1" applyBorder="1" applyAlignment="1" applyProtection="1">
      <alignment horizontal="right"/>
    </xf>
    <xf numFmtId="2" fontId="0" fillId="0" borderId="95" xfId="0" applyNumberFormat="1" applyFont="1" applyFill="1" applyBorder="1" applyAlignment="1" applyProtection="1">
      <alignment horizontal="right"/>
    </xf>
    <xf numFmtId="164" fontId="0" fillId="9" borderId="94" xfId="0" applyNumberFormat="1" applyFont="1" applyFill="1" applyBorder="1" applyAlignment="1" applyProtection="1">
      <alignment horizontal="right"/>
    </xf>
    <xf numFmtId="0" fontId="0" fillId="2" borderId="12" xfId="0" applyFill="1" applyBorder="1" applyProtection="1"/>
    <xf numFmtId="1" fontId="5" fillId="0" borderId="0" xfId="0" applyNumberFormat="1" applyFont="1" applyFill="1" applyBorder="1" applyAlignment="1" applyProtection="1">
      <alignment horizontal="center"/>
    </xf>
    <xf numFmtId="0" fontId="0" fillId="0" borderId="83" xfId="0" applyBorder="1" applyAlignment="1" applyProtection="1">
      <alignment horizontal="right"/>
    </xf>
    <xf numFmtId="1" fontId="1" fillId="0" borderId="84" xfId="0" applyNumberFormat="1" applyFont="1" applyBorder="1" applyAlignment="1" applyProtection="1">
      <alignment horizontal="center"/>
    </xf>
    <xf numFmtId="2" fontId="8" fillId="6" borderId="23" xfId="1" applyNumberFormat="1" applyFont="1" applyFill="1" applyBorder="1" applyAlignment="1" applyProtection="1">
      <alignment horizontal="center"/>
    </xf>
    <xf numFmtId="0" fontId="0" fillId="0" borderId="85" xfId="0" applyBorder="1" applyAlignment="1" applyProtection="1">
      <alignment horizontal="right"/>
    </xf>
    <xf numFmtId="0" fontId="0" fillId="2" borderId="16" xfId="0" applyFill="1" applyBorder="1" applyProtection="1"/>
    <xf numFmtId="1" fontId="0" fillId="9" borderId="26" xfId="0" applyNumberFormat="1" applyFont="1" applyFill="1" applyBorder="1" applyProtection="1"/>
    <xf numFmtId="164" fontId="0" fillId="9" borderId="26" xfId="0" applyNumberFormat="1" applyFont="1" applyFill="1" applyBorder="1" applyAlignment="1" applyProtection="1">
      <alignment horizontal="right"/>
    </xf>
    <xf numFmtId="164" fontId="8" fillId="6" borderId="30" xfId="1" applyNumberFormat="1" applyFont="1" applyFill="1" applyBorder="1" applyAlignment="1" applyProtection="1">
      <alignment horizontal="center"/>
    </xf>
    <xf numFmtId="0" fontId="0" fillId="0" borderId="30" xfId="0" applyBorder="1" applyProtection="1"/>
    <xf numFmtId="1" fontId="1" fillId="0" borderId="10" xfId="0" applyNumberFormat="1" applyFont="1" applyFill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7" fontId="0" fillId="2" borderId="63" xfId="0" applyNumberFormat="1" applyFill="1" applyBorder="1" applyProtection="1"/>
    <xf numFmtId="0" fontId="0" fillId="2" borderId="20" xfId="0" applyFill="1" applyBorder="1" applyAlignment="1" applyProtection="1">
      <alignment horizontal="center"/>
    </xf>
    <xf numFmtId="0" fontId="0" fillId="0" borderId="38" xfId="0" applyFont="1" applyFill="1" applyBorder="1" applyProtection="1"/>
    <xf numFmtId="0" fontId="0" fillId="0" borderId="39" xfId="0" applyFont="1" applyFill="1" applyBorder="1" applyProtection="1"/>
    <xf numFmtId="0" fontId="0" fillId="0" borderId="40" xfId="0" applyFont="1" applyFill="1" applyBorder="1" applyProtection="1"/>
    <xf numFmtId="0" fontId="0" fillId="9" borderId="39" xfId="0" applyFont="1" applyFill="1" applyBorder="1" applyProtection="1"/>
    <xf numFmtId="0" fontId="0" fillId="9" borderId="40" xfId="0" applyFont="1" applyFill="1" applyBorder="1" applyProtection="1"/>
    <xf numFmtId="2" fontId="0" fillId="0" borderId="39" xfId="0" applyNumberFormat="1" applyFont="1" applyFill="1" applyBorder="1" applyAlignment="1" applyProtection="1">
      <alignment horizontal="right"/>
    </xf>
    <xf numFmtId="2" fontId="0" fillId="0" borderId="40" xfId="0" applyNumberFormat="1" applyFont="1" applyFill="1" applyBorder="1" applyAlignment="1" applyProtection="1">
      <alignment horizontal="right"/>
    </xf>
    <xf numFmtId="164" fontId="0" fillId="9" borderId="39" xfId="0" applyNumberFormat="1" applyFont="1" applyFill="1" applyBorder="1" applyAlignment="1" applyProtection="1">
      <alignment horizontal="right"/>
    </xf>
    <xf numFmtId="164" fontId="8" fillId="6" borderId="64" xfId="1" applyNumberFormat="1" applyFont="1" applyFill="1" applyBorder="1" applyAlignment="1" applyProtection="1">
      <alignment horizontal="center"/>
    </xf>
    <xf numFmtId="1" fontId="5" fillId="0" borderId="84" xfId="0" applyNumberFormat="1" applyFont="1" applyFill="1" applyBorder="1" applyAlignment="1" applyProtection="1">
      <alignment horizontal="center"/>
    </xf>
    <xf numFmtId="164" fontId="8" fillId="6" borderId="57" xfId="1" applyNumberFormat="1" applyFont="1" applyFill="1" applyBorder="1" applyAlignment="1" applyProtection="1">
      <alignment horizontal="center"/>
    </xf>
    <xf numFmtId="2" fontId="0" fillId="9" borderId="60" xfId="0" applyNumberFormat="1" applyFont="1" applyFill="1" applyBorder="1" applyAlignment="1" applyProtection="1">
      <alignment horizontal="right"/>
    </xf>
    <xf numFmtId="2" fontId="8" fillId="6" borderId="29" xfId="1" applyNumberFormat="1" applyFont="1" applyFill="1" applyBorder="1" applyAlignment="1" applyProtection="1">
      <alignment horizontal="center"/>
    </xf>
    <xf numFmtId="1" fontId="0" fillId="9" borderId="61" xfId="0" applyNumberFormat="1" applyFont="1" applyFill="1" applyBorder="1" applyProtection="1"/>
    <xf numFmtId="1" fontId="1" fillId="0" borderId="73" xfId="0" applyNumberFormat="1" applyFont="1" applyFill="1" applyBorder="1" applyAlignment="1" applyProtection="1">
      <alignment horizontal="center"/>
    </xf>
    <xf numFmtId="2" fontId="8" fillId="6" borderId="64" xfId="1" applyNumberFormat="1" applyFont="1" applyFill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center"/>
    </xf>
    <xf numFmtId="166" fontId="0" fillId="2" borderId="1" xfId="0" applyNumberFormat="1" applyFill="1" applyBorder="1" applyProtection="1"/>
    <xf numFmtId="167" fontId="0" fillId="0" borderId="90" xfId="0" applyNumberFormat="1" applyFont="1" applyFill="1" applyBorder="1" applyAlignment="1" applyProtection="1">
      <alignment horizontal="right"/>
    </xf>
    <xf numFmtId="167" fontId="0" fillId="0" borderId="93" xfId="0" applyNumberFormat="1" applyFont="1" applyFill="1" applyBorder="1" applyAlignment="1" applyProtection="1">
      <alignment horizontal="right"/>
    </xf>
    <xf numFmtId="167" fontId="0" fillId="9" borderId="90" xfId="0" applyNumberFormat="1" applyFont="1" applyFill="1" applyBorder="1" applyAlignment="1" applyProtection="1">
      <alignment horizontal="right"/>
    </xf>
    <xf numFmtId="2" fontId="8" fillId="6" borderId="57" xfId="1" applyNumberFormat="1" applyFont="1" applyFill="1" applyBorder="1" applyAlignment="1" applyProtection="1">
      <alignment horizontal="center"/>
    </xf>
    <xf numFmtId="169" fontId="0" fillId="2" borderId="13" xfId="0" applyNumberFormat="1" applyFill="1" applyBorder="1" applyProtection="1"/>
    <xf numFmtId="0" fontId="0" fillId="9" borderId="42" xfId="0" applyFont="1" applyFill="1" applyBorder="1" applyProtection="1"/>
    <xf numFmtId="167" fontId="0" fillId="0" borderId="26" xfId="0" applyNumberFormat="1" applyFont="1" applyFill="1" applyBorder="1" applyAlignment="1" applyProtection="1">
      <alignment horizontal="right"/>
    </xf>
    <xf numFmtId="167" fontId="0" fillId="0" borderId="42" xfId="0" applyNumberFormat="1" applyFont="1" applyFill="1" applyBorder="1" applyAlignment="1" applyProtection="1">
      <alignment horizontal="right"/>
    </xf>
    <xf numFmtId="167" fontId="0" fillId="9" borderId="26" xfId="0" applyNumberFormat="1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vertical="center" wrapText="1"/>
    </xf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0" xfId="0" applyBorder="1" applyAlignment="1" applyProtection="1">
      <alignment horizontal="right"/>
    </xf>
    <xf numFmtId="164" fontId="8" fillId="6" borderId="31" xfId="1" applyNumberFormat="1" applyFont="1" applyFill="1" applyBorder="1" applyAlignment="1" applyProtection="1">
      <alignment horizontal="center"/>
    </xf>
    <xf numFmtId="0" fontId="0" fillId="0" borderId="28" xfId="0" applyFont="1" applyBorder="1" applyProtection="1"/>
    <xf numFmtId="0" fontId="0" fillId="0" borderId="31" xfId="0" applyFont="1" applyBorder="1" applyProtection="1"/>
    <xf numFmtId="174" fontId="29" fillId="0" borderId="0" xfId="0" applyNumberFormat="1" applyFont="1" applyFill="1" applyBorder="1" applyAlignment="1" applyProtection="1">
      <alignment horizontal="right" wrapText="1"/>
    </xf>
    <xf numFmtId="174" fontId="29" fillId="0" borderId="1" xfId="0" applyNumberFormat="1" applyFont="1" applyFill="1" applyBorder="1" applyAlignment="1" applyProtection="1">
      <alignment horizontal="right" wrapText="1"/>
    </xf>
    <xf numFmtId="1" fontId="1" fillId="4" borderId="10" xfId="0" applyNumberFormat="1" applyFont="1" applyFill="1" applyBorder="1" applyAlignment="1" applyProtection="1">
      <alignment horizontal="center"/>
    </xf>
    <xf numFmtId="165" fontId="0" fillId="4" borderId="63" xfId="0" applyNumberFormat="1" applyFill="1" applyBorder="1" applyProtection="1"/>
    <xf numFmtId="167" fontId="0" fillId="4" borderId="18" xfId="0" applyNumberFormat="1" applyFill="1" applyBorder="1" applyProtection="1"/>
    <xf numFmtId="0" fontId="0" fillId="4" borderId="18" xfId="0" applyFill="1" applyBorder="1" applyProtection="1"/>
    <xf numFmtId="0" fontId="0" fillId="4" borderId="19" xfId="0" applyFill="1" applyBorder="1" applyProtection="1"/>
    <xf numFmtId="0" fontId="0" fillId="4" borderId="20" xfId="0" applyFill="1" applyBorder="1" applyAlignment="1" applyProtection="1">
      <alignment horizontal="center"/>
    </xf>
    <xf numFmtId="0" fontId="0" fillId="0" borderId="102" xfId="0" applyFont="1" applyFill="1" applyBorder="1" applyProtection="1"/>
    <xf numFmtId="0" fontId="0" fillId="0" borderId="89" xfId="0" applyFont="1" applyFill="1" applyBorder="1" applyProtection="1"/>
    <xf numFmtId="0" fontId="0" fillId="0" borderId="96" xfId="0" applyFont="1" applyFill="1" applyBorder="1" applyProtection="1"/>
    <xf numFmtId="0" fontId="0" fillId="9" borderId="96" xfId="0" applyFont="1" applyFill="1" applyBorder="1" applyProtection="1"/>
    <xf numFmtId="2" fontId="0" fillId="0" borderId="96" xfId="0" applyNumberFormat="1" applyFont="1" applyFill="1" applyBorder="1" applyAlignment="1" applyProtection="1">
      <alignment horizontal="right"/>
    </xf>
    <xf numFmtId="1" fontId="1" fillId="4" borderId="103" xfId="0" applyNumberFormat="1" applyFont="1" applyFill="1" applyBorder="1" applyAlignment="1" applyProtection="1">
      <alignment horizontal="center"/>
    </xf>
    <xf numFmtId="165" fontId="0" fillId="4" borderId="49" xfId="0" applyNumberFormat="1" applyFill="1" applyBorder="1" applyProtection="1"/>
    <xf numFmtId="167" fontId="0" fillId="4" borderId="1" xfId="0" applyNumberFormat="1" applyFill="1" applyBorder="1" applyProtection="1"/>
    <xf numFmtId="0" fontId="0" fillId="4" borderId="12" xfId="0" applyFill="1" applyBorder="1" applyProtection="1"/>
    <xf numFmtId="0" fontId="0" fillId="4" borderId="14" xfId="0" applyFill="1" applyBorder="1" applyAlignment="1" applyProtection="1">
      <alignment horizontal="center"/>
    </xf>
    <xf numFmtId="1" fontId="5" fillId="0" borderId="104" xfId="0" applyNumberFormat="1" applyFont="1" applyFill="1" applyBorder="1" applyAlignment="1" applyProtection="1">
      <alignment horizontal="center"/>
    </xf>
    <xf numFmtId="165" fontId="0" fillId="2" borderId="49" xfId="0" applyNumberFormat="1" applyFill="1" applyBorder="1" applyProtection="1"/>
    <xf numFmtId="167" fontId="0" fillId="7" borderId="1" xfId="0" applyNumberFormat="1" applyFill="1" applyBorder="1" applyProtection="1"/>
    <xf numFmtId="1" fontId="1" fillId="0" borderId="103" xfId="0" applyNumberFormat="1" applyFont="1" applyBorder="1" applyAlignment="1" applyProtection="1">
      <alignment horizontal="center"/>
    </xf>
    <xf numFmtId="1" fontId="1" fillId="0" borderId="103" xfId="0" applyNumberFormat="1" applyFont="1" applyFill="1" applyBorder="1" applyAlignment="1" applyProtection="1">
      <alignment horizontal="center"/>
    </xf>
    <xf numFmtId="165" fontId="0" fillId="0" borderId="90" xfId="0" applyNumberFormat="1" applyFont="1" applyFill="1" applyBorder="1" applyAlignment="1" applyProtection="1">
      <alignment horizontal="right"/>
    </xf>
    <xf numFmtId="165" fontId="0" fillId="0" borderId="93" xfId="0" applyNumberFormat="1" applyFont="1" applyFill="1" applyBorder="1" applyAlignment="1" applyProtection="1">
      <alignment horizontal="right"/>
    </xf>
    <xf numFmtId="1" fontId="1" fillId="0" borderId="105" xfId="0" applyNumberFormat="1" applyFont="1" applyBorder="1" applyAlignment="1" applyProtection="1">
      <alignment horizontal="center"/>
    </xf>
    <xf numFmtId="2" fontId="8" fillId="6" borderId="58" xfId="1" applyNumberFormat="1" applyFont="1" applyFill="1" applyBorder="1" applyAlignment="1" applyProtection="1">
      <alignment horizontal="center"/>
    </xf>
    <xf numFmtId="166" fontId="0" fillId="2" borderId="13" xfId="0" applyNumberFormat="1" applyFill="1" applyBorder="1" applyProtection="1"/>
    <xf numFmtId="165" fontId="0" fillId="0" borderId="26" xfId="0" applyNumberFormat="1" applyFont="1" applyFill="1" applyBorder="1" applyAlignment="1" applyProtection="1">
      <alignment horizontal="right"/>
    </xf>
    <xf numFmtId="164" fontId="8" fillId="6" borderId="17" xfId="1" applyNumberFormat="1" applyFont="1" applyFill="1" applyBorder="1" applyAlignment="1" applyProtection="1">
      <alignment horizontal="center"/>
    </xf>
    <xf numFmtId="165" fontId="0" fillId="2" borderId="63" xfId="0" applyNumberFormat="1" applyFill="1" applyBorder="1" applyProtection="1"/>
    <xf numFmtId="164" fontId="0" fillId="0" borderId="39" xfId="0" applyNumberFormat="1" applyFont="1" applyFill="1" applyBorder="1" applyAlignment="1" applyProtection="1">
      <alignment horizontal="right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90" xfId="0" applyNumberFormat="1" applyFont="1" applyFill="1" applyBorder="1" applyAlignment="1" applyProtection="1">
      <alignment horizontal="right"/>
    </xf>
    <xf numFmtId="164" fontId="0" fillId="0" borderId="93" xfId="0" applyNumberFormat="1" applyFont="1" applyFill="1" applyBorder="1" applyAlignment="1" applyProtection="1">
      <alignment horizontal="right"/>
    </xf>
    <xf numFmtId="164" fontId="0" fillId="0" borderId="60" xfId="0" applyNumberFormat="1" applyFont="1" applyFill="1" applyBorder="1" applyAlignment="1" applyProtection="1">
      <alignment horizontal="right"/>
    </xf>
    <xf numFmtId="1" fontId="1" fillId="0" borderId="87" xfId="0" applyNumberFormat="1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 wrapText="1"/>
    </xf>
    <xf numFmtId="0" fontId="0" fillId="0" borderId="10" xfId="0" quotePrefix="1" applyBorder="1" applyAlignment="1" applyProtection="1">
      <alignment horizontal="center" vertical="top" wrapText="1"/>
    </xf>
    <xf numFmtId="0" fontId="11" fillId="2" borderId="4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2" borderId="17" xfId="0" applyFont="1" applyFill="1" applyBorder="1" applyAlignment="1" applyProtection="1">
      <alignment horizontal="center"/>
    </xf>
    <xf numFmtId="174" fontId="29" fillId="0" borderId="34" xfId="0" applyNumberFormat="1" applyFont="1" applyFill="1" applyBorder="1" applyAlignment="1" applyProtection="1">
      <alignment wrapText="1"/>
    </xf>
    <xf numFmtId="174" fontId="29" fillId="9" borderId="1" xfId="0" applyNumberFormat="1" applyFont="1" applyFill="1" applyBorder="1" applyAlignment="1" applyProtection="1">
      <alignment wrapText="1"/>
    </xf>
    <xf numFmtId="1" fontId="1" fillId="0" borderId="10" xfId="0" applyNumberFormat="1" applyFont="1" applyBorder="1" applyAlignment="1" applyProtection="1">
      <alignment horizontal="center"/>
    </xf>
    <xf numFmtId="164" fontId="0" fillId="6" borderId="41" xfId="0" applyNumberFormat="1" applyFill="1" applyBorder="1" applyAlignment="1" applyProtection="1">
      <alignment horizontal="center"/>
    </xf>
    <xf numFmtId="167" fontId="0" fillId="2" borderId="32" xfId="0" applyNumberFormat="1" applyFill="1" applyBorder="1" applyProtection="1"/>
    <xf numFmtId="165" fontId="0" fillId="2" borderId="18" xfId="0" applyNumberFormat="1" applyFill="1" applyBorder="1" applyProtection="1"/>
    <xf numFmtId="165" fontId="0" fillId="2" borderId="19" xfId="0" applyNumberFormat="1" applyFill="1" applyBorder="1" applyProtection="1"/>
    <xf numFmtId="165" fontId="0" fillId="2" borderId="18" xfId="0" applyNumberFormat="1" applyFont="1" applyFill="1" applyBorder="1" applyProtection="1"/>
    <xf numFmtId="0" fontId="0" fillId="2" borderId="19" xfId="0" applyFont="1" applyFill="1" applyBorder="1" applyProtection="1"/>
    <xf numFmtId="1" fontId="0" fillId="0" borderId="39" xfId="0" applyNumberFormat="1" applyFont="1" applyFill="1" applyBorder="1" applyProtection="1"/>
    <xf numFmtId="1" fontId="0" fillId="9" borderId="39" xfId="0" applyNumberFormat="1" applyFont="1" applyFill="1" applyBorder="1" applyProtection="1"/>
    <xf numFmtId="164" fontId="0" fillId="6" borderId="29" xfId="0" applyNumberFormat="1" applyFill="1" applyBorder="1" applyAlignment="1" applyProtection="1">
      <alignment horizontal="center"/>
    </xf>
    <xf numFmtId="167" fontId="0" fillId="2" borderId="34" xfId="0" applyNumberFormat="1" applyFill="1" applyBorder="1" applyProtection="1"/>
    <xf numFmtId="165" fontId="0" fillId="2" borderId="12" xfId="0" applyNumberFormat="1" applyFill="1" applyBorder="1" applyProtection="1"/>
    <xf numFmtId="165" fontId="0" fillId="2" borderId="1" xfId="0" applyNumberFormat="1" applyFont="1" applyFill="1" applyBorder="1" applyProtection="1"/>
    <xf numFmtId="0" fontId="0" fillId="2" borderId="12" xfId="0" applyFont="1" applyFill="1" applyBorder="1" applyProtection="1"/>
    <xf numFmtId="1" fontId="0" fillId="0" borderId="90" xfId="0" applyNumberFormat="1" applyFont="1" applyFill="1" applyBorder="1" applyProtection="1"/>
    <xf numFmtId="1" fontId="0" fillId="9" borderId="90" xfId="0" applyNumberFormat="1" applyFont="1" applyFill="1" applyBorder="1" applyProtection="1"/>
    <xf numFmtId="164" fontId="0" fillId="6" borderId="64" xfId="0" applyNumberFormat="1" applyFill="1" applyBorder="1" applyAlignment="1" applyProtection="1">
      <alignment horizontal="center"/>
    </xf>
    <xf numFmtId="164" fontId="0" fillId="2" borderId="1" xfId="0" applyNumberFormat="1" applyFill="1" applyBorder="1" applyProtection="1"/>
    <xf numFmtId="164" fontId="0" fillId="2" borderId="12" xfId="0" applyNumberFormat="1" applyFill="1" applyBorder="1" applyProtection="1"/>
    <xf numFmtId="164" fontId="0" fillId="2" borderId="1" xfId="0" applyNumberFormat="1" applyFont="1" applyFill="1" applyBorder="1" applyProtection="1"/>
    <xf numFmtId="164" fontId="0" fillId="2" borderId="12" xfId="0" applyNumberFormat="1" applyFont="1" applyFill="1" applyBorder="1" applyProtection="1"/>
    <xf numFmtId="164" fontId="0" fillId="0" borderId="11" xfId="0" applyNumberFormat="1" applyBorder="1" applyAlignment="1" applyProtection="1">
      <alignment horizontal="center"/>
    </xf>
    <xf numFmtId="164" fontId="0" fillId="6" borderId="58" xfId="0" applyNumberFormat="1" applyFill="1" applyBorder="1" applyAlignment="1" applyProtection="1">
      <alignment horizontal="center"/>
    </xf>
    <xf numFmtId="165" fontId="0" fillId="2" borderId="35" xfId="0" applyNumberFormat="1" applyFill="1" applyBorder="1" applyProtection="1"/>
    <xf numFmtId="167" fontId="0" fillId="2" borderId="13" xfId="0" applyNumberFormat="1" applyFill="1" applyBorder="1" applyProtection="1"/>
    <xf numFmtId="2" fontId="0" fillId="2" borderId="13" xfId="0" applyNumberFormat="1" applyFill="1" applyBorder="1" applyProtection="1"/>
    <xf numFmtId="170" fontId="0" fillId="2" borderId="16" xfId="0" applyNumberFormat="1" applyFill="1" applyBorder="1" applyProtection="1"/>
    <xf numFmtId="169" fontId="0" fillId="2" borderId="13" xfId="0" applyNumberFormat="1" applyFont="1" applyFill="1" applyBorder="1" applyProtection="1"/>
    <xf numFmtId="167" fontId="0" fillId="2" borderId="13" xfId="0" applyNumberFormat="1" applyFont="1" applyFill="1" applyBorder="1" applyProtection="1"/>
    <xf numFmtId="0" fontId="0" fillId="2" borderId="13" xfId="0" applyFont="1" applyFill="1" applyBorder="1" applyProtection="1"/>
    <xf numFmtId="0" fontId="0" fillId="2" borderId="16" xfId="0" applyFont="1" applyFill="1" applyBorder="1" applyProtection="1"/>
    <xf numFmtId="0" fontId="0" fillId="9" borderId="26" xfId="4" applyFont="1" applyFill="1" applyBorder="1" applyProtection="1"/>
    <xf numFmtId="1" fontId="0" fillId="0" borderId="26" xfId="4" applyNumberFormat="1" applyFont="1" applyFill="1" applyBorder="1" applyProtection="1"/>
    <xf numFmtId="1" fontId="0" fillId="9" borderId="26" xfId="4" applyNumberFormat="1" applyFont="1" applyFill="1" applyBorder="1" applyProtection="1"/>
    <xf numFmtId="0" fontId="7" fillId="5" borderId="2" xfId="2" applyBorder="1" applyAlignment="1" applyProtection="1">
      <alignment horizontal="center" wrapText="1"/>
    </xf>
    <xf numFmtId="0" fontId="7" fillId="5" borderId="31" xfId="2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 wrapText="1"/>
    </xf>
    <xf numFmtId="0" fontId="0" fillId="0" borderId="28" xfId="0" quotePrefix="1" applyBorder="1" applyAlignment="1" applyProtection="1">
      <alignment horizontal="center" vertical="top" wrapText="1"/>
    </xf>
    <xf numFmtId="174" fontId="29" fillId="0" borderId="68" xfId="0" applyNumberFormat="1" applyFont="1" applyFill="1" applyBorder="1" applyAlignment="1" applyProtection="1">
      <alignment horizontal="right" wrapText="1"/>
    </xf>
    <xf numFmtId="174" fontId="29" fillId="0" borderId="69" xfId="0" applyNumberFormat="1" applyFont="1" applyFill="1" applyBorder="1" applyAlignment="1" applyProtection="1">
      <alignment horizontal="right" wrapText="1"/>
    </xf>
    <xf numFmtId="174" fontId="29" fillId="9" borderId="1" xfId="0" applyNumberFormat="1" applyFont="1" applyFill="1" applyBorder="1" applyAlignment="1" applyProtection="1">
      <alignment horizontal="right" wrapText="1"/>
    </xf>
    <xf numFmtId="1" fontId="1" fillId="0" borderId="98" xfId="0" applyNumberFormat="1" applyFont="1" applyFill="1" applyBorder="1" applyAlignment="1" applyProtection="1">
      <alignment horizontal="center"/>
    </xf>
    <xf numFmtId="164" fontId="0" fillId="6" borderId="17" xfId="0" applyNumberFormat="1" applyFill="1" applyBorder="1" applyAlignment="1" applyProtection="1">
      <alignment horizontal="center"/>
    </xf>
    <xf numFmtId="1" fontId="0" fillId="2" borderId="18" xfId="0" applyNumberFormat="1" applyFill="1" applyBorder="1" applyProtection="1"/>
    <xf numFmtId="0" fontId="0" fillId="2" borderId="19" xfId="0" applyFill="1" applyBorder="1" applyProtection="1"/>
    <xf numFmtId="0" fontId="0" fillId="2" borderId="20" xfId="0" applyFont="1" applyFill="1" applyBorder="1" applyProtection="1"/>
    <xf numFmtId="1" fontId="0" fillId="0" borderId="0" xfId="0" applyNumberFormat="1" applyFont="1" applyProtection="1"/>
    <xf numFmtId="164" fontId="0" fillId="6" borderId="57" xfId="0" applyNumberFormat="1" applyFill="1" applyBorder="1" applyAlignment="1" applyProtection="1">
      <alignment horizontal="center"/>
    </xf>
    <xf numFmtId="0" fontId="0" fillId="2" borderId="42" xfId="0" applyFill="1" applyBorder="1" applyProtection="1"/>
    <xf numFmtId="0" fontId="0" fillId="2" borderId="27" xfId="0" applyFont="1" applyFill="1" applyBorder="1" applyProtection="1"/>
    <xf numFmtId="172" fontId="0" fillId="0" borderId="0" xfId="3" applyNumberFormat="1" applyFont="1" applyProtection="1"/>
    <xf numFmtId="1" fontId="5" fillId="0" borderId="73" xfId="0" applyNumberFormat="1" applyFont="1" applyFill="1" applyBorder="1" applyAlignment="1" applyProtection="1">
      <alignment horizontal="center"/>
    </xf>
    <xf numFmtId="1" fontId="1" fillId="0" borderId="88" xfId="0" applyNumberFormat="1" applyFont="1" applyBorder="1" applyAlignment="1" applyProtection="1">
      <alignment horizontal="center"/>
    </xf>
    <xf numFmtId="1" fontId="1" fillId="0" borderId="88" xfId="0" applyNumberFormat="1" applyFont="1" applyFill="1" applyBorder="1" applyAlignment="1" applyProtection="1">
      <alignment horizontal="center"/>
    </xf>
    <xf numFmtId="1" fontId="0" fillId="0" borderId="0" xfId="0" applyNumberFormat="1" applyFont="1" applyBorder="1" applyProtection="1"/>
    <xf numFmtId="0" fontId="0" fillId="2" borderId="44" xfId="0" applyFill="1" applyBorder="1" applyProtection="1"/>
    <xf numFmtId="0" fontId="0" fillId="2" borderId="30" xfId="0" applyFont="1" applyFill="1" applyBorder="1" applyProtection="1"/>
    <xf numFmtId="0" fontId="7" fillId="0" borderId="4" xfId="2" applyFill="1" applyBorder="1" applyProtection="1"/>
    <xf numFmtId="0" fontId="7" fillId="0" borderId="5" xfId="2" applyFill="1" applyBorder="1" applyProtection="1"/>
    <xf numFmtId="0" fontId="0" fillId="0" borderId="0" xfId="0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Border="1" applyProtection="1"/>
    <xf numFmtId="1" fontId="0" fillId="0" borderId="0" xfId="0" applyNumberForma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7" fillId="0" borderId="9" xfId="2" applyFill="1" applyBorder="1" applyProtection="1"/>
    <xf numFmtId="0" fontId="7" fillId="0" borderId="8" xfId="2" applyFill="1" applyBorder="1" applyProtection="1"/>
    <xf numFmtId="164" fontId="0" fillId="6" borderId="30" xfId="0" applyNumberFormat="1" applyFill="1" applyBorder="1" applyAlignment="1" applyProtection="1">
      <alignment horizontal="center"/>
    </xf>
    <xf numFmtId="174" fontId="29" fillId="0" borderId="26" xfId="0" applyNumberFormat="1" applyFont="1" applyFill="1" applyBorder="1" applyAlignment="1" applyProtection="1">
      <alignment horizontal="right" wrapText="1"/>
    </xf>
    <xf numFmtId="174" fontId="29" fillId="9" borderId="26" xfId="0" applyNumberFormat="1" applyFont="1" applyFill="1" applyBorder="1" applyAlignment="1" applyProtection="1">
      <alignment horizontal="right" wrapText="1"/>
    </xf>
    <xf numFmtId="0" fontId="0" fillId="2" borderId="18" xfId="0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0" fillId="2" borderId="1" xfId="0" applyNumberFormat="1" applyFill="1" applyBorder="1" applyProtection="1"/>
    <xf numFmtId="0" fontId="0" fillId="2" borderId="1" xfId="0" applyFont="1" applyFill="1" applyBorder="1" applyProtection="1"/>
    <xf numFmtId="164" fontId="0" fillId="9" borderId="90" xfId="0" applyNumberFormat="1" applyFont="1" applyFill="1" applyBorder="1" applyProtection="1"/>
    <xf numFmtId="2" fontId="0" fillId="2" borderId="1" xfId="0" applyNumberFormat="1" applyFill="1" applyBorder="1" applyProtection="1"/>
    <xf numFmtId="164" fontId="0" fillId="0" borderId="60" xfId="0" applyNumberFormat="1" applyFont="1" applyFill="1" applyBorder="1" applyProtection="1"/>
    <xf numFmtId="1" fontId="0" fillId="9" borderId="60" xfId="0" applyNumberFormat="1" applyFont="1" applyFill="1" applyBorder="1" applyProtection="1"/>
    <xf numFmtId="170" fontId="0" fillId="2" borderId="12" xfId="0" applyNumberFormat="1" applyFill="1" applyBorder="1" applyProtection="1"/>
    <xf numFmtId="169" fontId="0" fillId="2" borderId="1" xfId="0" applyNumberFormat="1" applyFont="1" applyFill="1" applyBorder="1" applyProtection="1"/>
    <xf numFmtId="167" fontId="0" fillId="2" borderId="1" xfId="0" applyNumberFormat="1" applyFont="1" applyFill="1" applyBorder="1" applyProtection="1"/>
    <xf numFmtId="0" fontId="0" fillId="9" borderId="90" xfId="4" applyFont="1" applyFill="1" applyBorder="1" applyProtection="1"/>
    <xf numFmtId="164" fontId="0" fillId="0" borderId="90" xfId="4" applyNumberFormat="1" applyFont="1" applyFill="1" applyBorder="1" applyProtection="1"/>
    <xf numFmtId="1" fontId="0" fillId="9" borderId="90" xfId="4" applyNumberFormat="1" applyFont="1" applyFill="1" applyBorder="1" applyProtection="1"/>
    <xf numFmtId="0" fontId="0" fillId="9" borderId="60" xfId="4" applyFont="1" applyFill="1" applyBorder="1" applyProtection="1"/>
    <xf numFmtId="164" fontId="0" fillId="0" borderId="60" xfId="4" applyNumberFormat="1" applyFont="1" applyFill="1" applyBorder="1" applyProtection="1"/>
    <xf numFmtId="164" fontId="0" fillId="9" borderId="60" xfId="4" applyNumberFormat="1" applyFont="1" applyFill="1" applyBorder="1" applyProtection="1"/>
    <xf numFmtId="164" fontId="0" fillId="9" borderId="90" xfId="4" applyNumberFormat="1" applyFont="1" applyFill="1" applyBorder="1" applyProtection="1"/>
    <xf numFmtId="2" fontId="0" fillId="0" borderId="90" xfId="4" applyNumberFormat="1" applyFont="1" applyFill="1" applyBorder="1" applyProtection="1"/>
    <xf numFmtId="2" fontId="0" fillId="0" borderId="60" xfId="4" applyNumberFormat="1" applyFont="1" applyFill="1" applyBorder="1" applyProtection="1"/>
    <xf numFmtId="171" fontId="0" fillId="2" borderId="1" xfId="0" applyNumberFormat="1" applyFont="1" applyFill="1" applyBorder="1" applyProtection="1"/>
    <xf numFmtId="2" fontId="0" fillId="9" borderId="90" xfId="4" applyNumberFormat="1" applyFont="1" applyFill="1" applyBorder="1" applyProtection="1"/>
    <xf numFmtId="171" fontId="0" fillId="2" borderId="13" xfId="0" applyNumberFormat="1" applyFont="1" applyFill="1" applyBorder="1" applyProtection="1"/>
    <xf numFmtId="165" fontId="0" fillId="2" borderId="13" xfId="0" applyNumberFormat="1" applyFont="1" applyFill="1" applyBorder="1" applyProtection="1"/>
    <xf numFmtId="164" fontId="0" fillId="9" borderId="26" xfId="4" applyNumberFormat="1" applyFont="1" applyFill="1" applyBorder="1" applyProtection="1"/>
    <xf numFmtId="167" fontId="0" fillId="0" borderId="26" xfId="4" applyNumberFormat="1" applyFont="1" applyFill="1" applyBorder="1" applyProtection="1"/>
    <xf numFmtId="2" fontId="0" fillId="9" borderId="26" xfId="4" applyNumberFormat="1" applyFont="1" applyFill="1" applyBorder="1" applyProtection="1"/>
    <xf numFmtId="0" fontId="7" fillId="0" borderId="2" xfId="2" applyFill="1" applyBorder="1" applyProtection="1"/>
    <xf numFmtId="0" fontId="7" fillId="0" borderId="28" xfId="2" applyFill="1" applyBorder="1" applyProtection="1"/>
    <xf numFmtId="167" fontId="0" fillId="6" borderId="29" xfId="0" applyNumberFormat="1" applyFill="1" applyBorder="1" applyAlignment="1" applyProtection="1">
      <alignment horizontal="center"/>
    </xf>
    <xf numFmtId="167" fontId="0" fillId="0" borderId="6" xfId="0" applyNumberFormat="1" applyFill="1" applyBorder="1" applyProtection="1"/>
    <xf numFmtId="166" fontId="0" fillId="0" borderId="0" xfId="0" applyNumberFormat="1" applyFill="1" applyBorder="1" applyProtection="1"/>
    <xf numFmtId="0" fontId="0" fillId="0" borderId="31" xfId="0" applyFill="1" applyBorder="1" applyAlignment="1" applyProtection="1">
      <alignment horizontal="center"/>
    </xf>
    <xf numFmtId="164" fontId="0" fillId="9" borderId="91" xfId="4" applyNumberFormat="1" applyFont="1" applyFill="1" applyBorder="1" applyProtection="1"/>
    <xf numFmtId="0" fontId="0" fillId="9" borderId="91" xfId="4" applyFont="1" applyFill="1" applyBorder="1" applyProtection="1"/>
    <xf numFmtId="2" fontId="0" fillId="0" borderId="91" xfId="4" applyNumberFormat="1" applyFont="1" applyFill="1" applyBorder="1" applyProtection="1"/>
    <xf numFmtId="2" fontId="0" fillId="9" borderId="91" xfId="4" applyNumberFormat="1" applyFont="1" applyFill="1" applyBorder="1" applyProtection="1"/>
    <xf numFmtId="0" fontId="7" fillId="0" borderId="0" xfId="2" applyFill="1" applyBorder="1" applyProtection="1"/>
    <xf numFmtId="173" fontId="0" fillId="0" borderId="0" xfId="3" applyNumberFormat="1" applyFont="1" applyFill="1" applyBorder="1" applyProtection="1"/>
    <xf numFmtId="168" fontId="0" fillId="0" borderId="0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164" fontId="0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34" fillId="0" borderId="0" xfId="0" applyFont="1" applyAlignment="1" applyProtection="1">
      <alignment horizontal="right"/>
    </xf>
    <xf numFmtId="164" fontId="31" fillId="0" borderId="0" xfId="0" applyNumberFormat="1" applyFont="1" applyProtection="1"/>
    <xf numFmtId="0" fontId="31" fillId="0" borderId="0" xfId="0" applyFont="1" applyProtection="1"/>
    <xf numFmtId="2" fontId="31" fillId="0" borderId="0" xfId="0" applyNumberFormat="1" applyFont="1" applyProtection="1"/>
    <xf numFmtId="1" fontId="31" fillId="0" borderId="0" xfId="0" applyNumberFormat="1" applyFont="1" applyProtection="1"/>
    <xf numFmtId="0" fontId="31" fillId="0" borderId="0" xfId="0" applyFont="1" applyBorder="1" applyProtection="1"/>
    <xf numFmtId="167" fontId="0" fillId="0" borderId="4" xfId="0" applyNumberFormat="1" applyBorder="1"/>
    <xf numFmtId="0" fontId="0" fillId="0" borderId="10" xfId="0" applyBorder="1"/>
    <xf numFmtId="0" fontId="0" fillId="0" borderId="31" xfId="0" applyBorder="1"/>
    <xf numFmtId="0" fontId="0" fillId="4" borderId="63" xfId="0" applyFill="1" applyBorder="1"/>
    <xf numFmtId="167" fontId="0" fillId="4" borderId="49" xfId="0" applyNumberFormat="1" applyFill="1" applyBorder="1"/>
    <xf numFmtId="0" fontId="0" fillId="2" borderId="49" xfId="0" applyFill="1" applyBorder="1"/>
    <xf numFmtId="167" fontId="0" fillId="2" borderId="62" xfId="0" applyNumberFormat="1" applyFill="1" applyBorder="1"/>
    <xf numFmtId="167" fontId="0" fillId="0" borderId="6" xfId="0" applyNumberFormat="1" applyBorder="1"/>
    <xf numFmtId="167" fontId="0" fillId="2" borderId="63" xfId="0" applyNumberFormat="1" applyFill="1" applyBorder="1"/>
    <xf numFmtId="165" fontId="0" fillId="4" borderId="63" xfId="0" applyNumberFormat="1" applyFill="1" applyBorder="1"/>
    <xf numFmtId="165" fontId="0" fillId="4" borderId="49" xfId="0" applyNumberFormat="1" applyFill="1" applyBorder="1"/>
    <xf numFmtId="165" fontId="8" fillId="7" borderId="49" xfId="0" applyNumberFormat="1" applyFont="1" applyFill="1" applyBorder="1"/>
    <xf numFmtId="168" fontId="7" fillId="5" borderId="31" xfId="2" applyNumberForma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</xf>
    <xf numFmtId="0" fontId="0" fillId="7" borderId="14" xfId="0" applyFill="1" applyBorder="1" applyAlignment="1" applyProtection="1">
      <alignment horizontal="center"/>
    </xf>
    <xf numFmtId="165" fontId="0" fillId="7" borderId="1" xfId="0" applyNumberFormat="1" applyFont="1" applyFill="1" applyBorder="1" applyProtection="1"/>
    <xf numFmtId="0" fontId="36" fillId="0" borderId="0" xfId="0" applyFont="1" applyProtection="1"/>
    <xf numFmtId="0" fontId="36" fillId="7" borderId="1" xfId="0" applyFont="1" applyFill="1" applyBorder="1" applyProtection="1"/>
    <xf numFmtId="0" fontId="36" fillId="0" borderId="1" xfId="0" applyFont="1" applyBorder="1" applyProtection="1"/>
    <xf numFmtId="0" fontId="0" fillId="7" borderId="0" xfId="0" applyFont="1" applyFill="1" applyProtection="1"/>
    <xf numFmtId="0" fontId="0" fillId="2" borderId="46" xfId="0" applyFill="1" applyBorder="1" applyProtection="1"/>
    <xf numFmtId="0" fontId="0" fillId="4" borderId="46" xfId="0" applyFill="1" applyBorder="1" applyProtection="1"/>
    <xf numFmtId="0" fontId="8" fillId="2" borderId="17" xfId="1" applyFont="1" applyFill="1" applyBorder="1" applyAlignment="1" applyProtection="1">
      <alignment horizontal="center"/>
    </xf>
    <xf numFmtId="0" fontId="8" fillId="2" borderId="14" xfId="1" applyFont="1" applyFill="1" applyBorder="1" applyAlignment="1" applyProtection="1">
      <alignment horizontal="center"/>
    </xf>
    <xf numFmtId="0" fontId="8" fillId="2" borderId="30" xfId="1" applyFont="1" applyFill="1" applyBorder="1" applyAlignment="1" applyProtection="1">
      <alignment horizontal="center"/>
    </xf>
    <xf numFmtId="1" fontId="0" fillId="4" borderId="14" xfId="0" applyNumberFormat="1" applyFill="1" applyBorder="1" applyAlignment="1" applyProtection="1">
      <alignment horizontal="center"/>
    </xf>
    <xf numFmtId="0" fontId="5" fillId="7" borderId="0" xfId="0" applyFont="1" applyFill="1" applyProtection="1"/>
    <xf numFmtId="0" fontId="7" fillId="5" borderId="2" xfId="2" applyBorder="1" applyAlignment="1" applyProtection="1">
      <alignment horizontal="center" wrapText="1"/>
    </xf>
    <xf numFmtId="0" fontId="36" fillId="7" borderId="1" xfId="0" applyFont="1" applyFill="1" applyBorder="1" applyAlignment="1" applyProtection="1">
      <alignment horizontal="center"/>
    </xf>
    <xf numFmtId="0" fontId="36" fillId="0" borderId="1" xfId="0" applyFont="1" applyBorder="1" applyAlignment="1" applyProtection="1">
      <alignment horizontal="center"/>
    </xf>
    <xf numFmtId="164" fontId="8" fillId="10" borderId="6" xfId="1" applyNumberFormat="1" applyFont="1" applyFill="1" applyBorder="1" applyAlignment="1" applyProtection="1">
      <alignment horizontal="center"/>
    </xf>
    <xf numFmtId="164" fontId="8" fillId="10" borderId="0" xfId="1" applyNumberFormat="1" applyFont="1" applyFill="1" applyBorder="1" applyAlignment="1" applyProtection="1">
      <alignment horizontal="center"/>
    </xf>
    <xf numFmtId="164" fontId="8" fillId="10" borderId="2" xfId="1" applyNumberFormat="1" applyFont="1" applyFill="1" applyBorder="1" applyAlignment="1" applyProtection="1">
      <alignment horizontal="center"/>
    </xf>
    <xf numFmtId="0" fontId="0" fillId="10" borderId="0" xfId="0" applyFont="1" applyFill="1" applyProtection="1"/>
    <xf numFmtId="164" fontId="0" fillId="10" borderId="0" xfId="0" applyNumberFormat="1" applyFill="1" applyBorder="1" applyAlignment="1" applyProtection="1">
      <alignment horizontal="center"/>
    </xf>
    <xf numFmtId="167" fontId="0" fillId="10" borderId="6" xfId="0" applyNumberFormat="1" applyFill="1" applyBorder="1" applyAlignment="1" applyProtection="1">
      <alignment horizontal="center"/>
    </xf>
    <xf numFmtId="0" fontId="0" fillId="6" borderId="31" xfId="0" applyFont="1" applyFill="1" applyBorder="1" applyProtection="1"/>
    <xf numFmtId="0" fontId="7" fillId="5" borderId="2" xfId="2" applyBorder="1" applyAlignment="1">
      <alignment horizontal="center" wrapText="1"/>
    </xf>
    <xf numFmtId="0" fontId="18" fillId="0" borderId="0" xfId="0" applyFont="1" applyFill="1"/>
    <xf numFmtId="0" fontId="0" fillId="0" borderId="0" xfId="0" applyFill="1" applyBorder="1" applyAlignment="1">
      <alignment vertical="top" wrapText="1"/>
    </xf>
    <xf numFmtId="0" fontId="8" fillId="2" borderId="20" xfId="1" applyFont="1" applyFill="1" applyBorder="1" applyAlignment="1">
      <alignment horizontal="center"/>
    </xf>
    <xf numFmtId="0" fontId="0" fillId="2" borderId="33" xfId="0" applyFill="1" applyBorder="1"/>
    <xf numFmtId="0" fontId="8" fillId="2" borderId="27" xfId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8" fillId="6" borderId="30" xfId="1" applyNumberFormat="1" applyFont="1" applyFill="1" applyBorder="1" applyAlignment="1">
      <alignment horizontal="center"/>
    </xf>
    <xf numFmtId="0" fontId="0" fillId="2" borderId="108" xfId="0" applyFill="1" applyBorder="1"/>
    <xf numFmtId="0" fontId="8" fillId="2" borderId="30" xfId="1" applyFont="1" applyFill="1" applyBorder="1" applyAlignment="1">
      <alignment horizontal="center"/>
    </xf>
    <xf numFmtId="164" fontId="8" fillId="6" borderId="29" xfId="1" applyNumberFormat="1" applyFont="1" applyFill="1" applyBorder="1" applyAlignment="1">
      <alignment horizontal="center"/>
    </xf>
    <xf numFmtId="167" fontId="0" fillId="0" borderId="0" xfId="0" applyNumberFormat="1" applyBorder="1"/>
    <xf numFmtId="0" fontId="0" fillId="0" borderId="29" xfId="0" applyBorder="1"/>
    <xf numFmtId="164" fontId="8" fillId="6" borderId="31" xfId="1" applyNumberFormat="1" applyFont="1" applyFill="1" applyBorder="1" applyAlignment="1">
      <alignment horizontal="center"/>
    </xf>
    <xf numFmtId="0" fontId="0" fillId="0" borderId="31" xfId="0" applyFont="1" applyBorder="1"/>
    <xf numFmtId="165" fontId="0" fillId="2" borderId="32" xfId="0" applyNumberFormat="1" applyFill="1" applyBorder="1"/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18" xfId="0" applyNumberFormat="1" applyFont="1" applyFill="1" applyBorder="1"/>
    <xf numFmtId="164" fontId="0" fillId="2" borderId="12" xfId="0" applyNumberFormat="1" applyFont="1" applyFill="1" applyBorder="1"/>
    <xf numFmtId="165" fontId="0" fillId="2" borderId="35" xfId="0" applyNumberFormat="1" applyFill="1" applyBorder="1"/>
    <xf numFmtId="167" fontId="0" fillId="2" borderId="13" xfId="0" applyNumberFormat="1" applyFill="1" applyBorder="1"/>
    <xf numFmtId="169" fontId="0" fillId="2" borderId="13" xfId="0" applyNumberFormat="1" applyFont="1" applyFill="1" applyBorder="1"/>
    <xf numFmtId="167" fontId="0" fillId="2" borderId="13" xfId="0" applyNumberFormat="1" applyFont="1" applyFill="1" applyBorder="1"/>
    <xf numFmtId="0" fontId="7" fillId="5" borderId="31" xfId="2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28" xfId="0" quotePrefix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2" borderId="109" xfId="0" applyFont="1" applyFill="1" applyBorder="1"/>
    <xf numFmtId="164" fontId="0" fillId="6" borderId="27" xfId="0" applyNumberFormat="1" applyFill="1" applyBorder="1" applyAlignment="1">
      <alignment horizontal="center"/>
    </xf>
    <xf numFmtId="1" fontId="0" fillId="2" borderId="26" xfId="0" applyNumberFormat="1" applyFill="1" applyBorder="1"/>
    <xf numFmtId="0" fontId="0" fillId="2" borderId="42" xfId="0" applyFill="1" applyBorder="1"/>
    <xf numFmtId="172" fontId="0" fillId="0" borderId="0" xfId="3" applyNumberFormat="1" applyFont="1"/>
    <xf numFmtId="164" fontId="0" fillId="6" borderId="30" xfId="0" applyNumberFormat="1" applyFill="1" applyBorder="1" applyAlignment="1">
      <alignment horizontal="center"/>
    </xf>
    <xf numFmtId="167" fontId="0" fillId="2" borderId="55" xfId="0" applyNumberFormat="1" applyFill="1" applyBorder="1"/>
    <xf numFmtId="1" fontId="0" fillId="2" borderId="43" xfId="0" applyNumberFormat="1" applyFill="1" applyBorder="1"/>
    <xf numFmtId="0" fontId="0" fillId="2" borderId="44" xfId="0" applyFill="1" applyBorder="1"/>
    <xf numFmtId="0" fontId="6" fillId="0" borderId="6" xfId="0" applyFont="1" applyBorder="1" applyAlignment="1">
      <alignment vertical="center" wrapText="1"/>
    </xf>
    <xf numFmtId="0" fontId="0" fillId="0" borderId="7" xfId="0" applyFill="1" applyBorder="1" applyAlignment="1">
      <alignment horizontal="right"/>
    </xf>
    <xf numFmtId="164" fontId="0" fillId="6" borderId="29" xfId="0" applyNumberFormat="1" applyFill="1" applyBorder="1" applyAlignment="1">
      <alignment horizontal="center"/>
    </xf>
    <xf numFmtId="167" fontId="0" fillId="0" borderId="59" xfId="0" applyNumberFormat="1" applyFill="1" applyBorder="1"/>
    <xf numFmtId="1" fontId="0" fillId="0" borderId="60" xfId="0" applyNumberFormat="1" applyFill="1" applyBorder="1"/>
    <xf numFmtId="0" fontId="0" fillId="0" borderId="60" xfId="0" applyFill="1" applyBorder="1"/>
    <xf numFmtId="0" fontId="0" fillId="0" borderId="61" xfId="0" applyFill="1" applyBorder="1"/>
    <xf numFmtId="0" fontId="0" fillId="0" borderId="61" xfId="0" applyFont="1" applyFill="1" applyBorder="1"/>
    <xf numFmtId="0" fontId="0" fillId="0" borderId="0" xfId="0" applyFill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1" fontId="1" fillId="0" borderId="28" xfId="0" applyNumberFormat="1" applyFont="1" applyBorder="1" applyAlignment="1">
      <alignment horizontal="center"/>
    </xf>
    <xf numFmtId="0" fontId="7" fillId="0" borderId="9" xfId="2" applyFill="1" applyBorder="1"/>
    <xf numFmtId="0" fontId="7" fillId="0" borderId="30" xfId="2" applyFill="1" applyBorder="1"/>
    <xf numFmtId="0" fontId="0" fillId="0" borderId="31" xfId="0" applyFill="1" applyBorder="1" applyAlignment="1">
      <alignment horizontal="right"/>
    </xf>
    <xf numFmtId="164" fontId="0" fillId="0" borderId="28" xfId="0" applyNumberFormat="1" applyFill="1" applyBorder="1" applyAlignment="1">
      <alignment horizontal="center"/>
    </xf>
    <xf numFmtId="164" fontId="0" fillId="6" borderId="31" xfId="0" applyNumberFormat="1" applyFill="1" applyBorder="1" applyAlignment="1">
      <alignment horizontal="center"/>
    </xf>
    <xf numFmtId="0" fontId="0" fillId="2" borderId="26" xfId="0" applyFont="1" applyFill="1" applyBorder="1"/>
    <xf numFmtId="0" fontId="0" fillId="2" borderId="42" xfId="0" applyFont="1" applyFill="1" applyBorder="1"/>
    <xf numFmtId="167" fontId="0" fillId="6" borderId="29" xfId="0" applyNumberFormat="1" applyFill="1" applyBorder="1" applyAlignment="1">
      <alignment horizontal="center"/>
    </xf>
    <xf numFmtId="173" fontId="0" fillId="0" borderId="0" xfId="3" applyNumberFormat="1" applyFont="1" applyFill="1" applyBorder="1"/>
    <xf numFmtId="168" fontId="0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7" fillId="5" borderId="4" xfId="2" applyBorder="1" applyProtection="1">
      <protection locked="0"/>
    </xf>
    <xf numFmtId="0" fontId="7" fillId="5" borderId="6" xfId="2" applyBorder="1" applyProtection="1">
      <protection locked="0"/>
    </xf>
    <xf numFmtId="0" fontId="7" fillId="5" borderId="29" xfId="2" applyBorder="1" applyProtection="1">
      <protection locked="0"/>
    </xf>
    <xf numFmtId="0" fontId="7" fillId="5" borderId="30" xfId="2" applyBorder="1" applyProtection="1">
      <protection locked="0"/>
    </xf>
    <xf numFmtId="165" fontId="0" fillId="2" borderId="51" xfId="0" applyNumberFormat="1" applyFill="1" applyBorder="1" applyProtection="1"/>
    <xf numFmtId="165" fontId="0" fillId="2" borderId="55" xfId="0" applyNumberFormat="1" applyFill="1" applyBorder="1" applyProtection="1"/>
    <xf numFmtId="167" fontId="0" fillId="2" borderId="26" xfId="0" applyNumberFormat="1" applyFill="1" applyBorder="1" applyProtection="1"/>
    <xf numFmtId="165" fontId="0" fillId="2" borderId="26" xfId="0" applyNumberFormat="1" applyFill="1" applyBorder="1" applyProtection="1"/>
    <xf numFmtId="165" fontId="0" fillId="2" borderId="43" xfId="0" applyNumberFormat="1" applyFill="1" applyBorder="1" applyProtection="1"/>
    <xf numFmtId="167" fontId="0" fillId="2" borderId="18" xfId="0" applyNumberFormat="1" applyFill="1" applyBorder="1" applyProtection="1"/>
    <xf numFmtId="1" fontId="5" fillId="0" borderId="98" xfId="0" applyNumberFormat="1" applyFont="1" applyFill="1" applyBorder="1" applyAlignment="1" applyProtection="1">
      <alignment horizontal="center"/>
    </xf>
    <xf numFmtId="1" fontId="5" fillId="0" borderId="73" xfId="0" applyNumberFormat="1" applyFont="1" applyBorder="1" applyAlignment="1" applyProtection="1">
      <alignment horizontal="center"/>
    </xf>
    <xf numFmtId="1" fontId="5" fillId="0" borderId="88" xfId="0" applyNumberFormat="1" applyFont="1" applyBorder="1" applyAlignment="1" applyProtection="1">
      <alignment horizontal="center"/>
    </xf>
    <xf numFmtId="1" fontId="5" fillId="0" borderId="88" xfId="0" applyNumberFormat="1" applyFont="1" applyFill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" fontId="5" fillId="0" borderId="84" xfId="0" applyNumberFormat="1" applyFont="1" applyBorder="1" applyAlignment="1" applyProtection="1">
      <alignment horizontal="center"/>
    </xf>
    <xf numFmtId="1" fontId="5" fillId="0" borderId="11" xfId="0" applyNumberFormat="1" applyFont="1" applyBorder="1" applyAlignment="1" applyProtection="1">
      <alignment horizontal="center"/>
    </xf>
    <xf numFmtId="174" fontId="29" fillId="9" borderId="39" xfId="0" quotePrefix="1" applyNumberFormat="1" applyFont="1" applyFill="1" applyBorder="1" applyAlignment="1" applyProtection="1">
      <alignment horizontal="right" wrapText="1"/>
    </xf>
    <xf numFmtId="1" fontId="0" fillId="9" borderId="95" xfId="0" applyNumberFormat="1" applyFont="1" applyFill="1" applyBorder="1" applyProtection="1"/>
    <xf numFmtId="0" fontId="8" fillId="9" borderId="86" xfId="0" applyFont="1" applyFill="1" applyBorder="1" applyProtection="1"/>
    <xf numFmtId="0" fontId="0" fillId="0" borderId="0" xfId="0" quotePrefix="1" applyFont="1" applyFill="1" applyProtection="1"/>
    <xf numFmtId="0" fontId="4" fillId="9" borderId="61" xfId="1" applyFill="1" applyBorder="1" applyProtection="1"/>
    <xf numFmtId="164" fontId="0" fillId="9" borderId="61" xfId="0" applyNumberFormat="1" applyFont="1" applyFill="1" applyBorder="1" applyAlignment="1" applyProtection="1">
      <alignment horizontal="right"/>
    </xf>
    <xf numFmtId="0" fontId="4" fillId="9" borderId="1" xfId="1" applyFill="1" applyBorder="1" applyProtection="1"/>
    <xf numFmtId="0" fontId="0" fillId="9" borderId="1" xfId="0" applyFont="1" applyFill="1" applyBorder="1" applyProtection="1"/>
    <xf numFmtId="164" fontId="0" fillId="9" borderId="1" xfId="0" applyNumberFormat="1" applyFont="1" applyFill="1" applyBorder="1" applyAlignment="1" applyProtection="1">
      <alignment horizontal="right"/>
    </xf>
    <xf numFmtId="0" fontId="8" fillId="9" borderId="106" xfId="0" applyFont="1" applyFill="1" applyBorder="1" applyProtection="1"/>
    <xf numFmtId="164" fontId="8" fillId="9" borderId="76" xfId="0" applyNumberFormat="1" applyFont="1" applyFill="1" applyBorder="1" applyAlignment="1" applyProtection="1">
      <alignment horizontal="right"/>
    </xf>
    <xf numFmtId="164" fontId="8" fillId="9" borderId="75" xfId="0" applyNumberFormat="1" applyFont="1" applyFill="1" applyBorder="1" applyAlignment="1" applyProtection="1">
      <alignment horizontal="right"/>
    </xf>
    <xf numFmtId="0" fontId="8" fillId="9" borderId="75" xfId="0" applyFont="1" applyFill="1" applyBorder="1" applyProtection="1"/>
    <xf numFmtId="0" fontId="8" fillId="0" borderId="0" xfId="0" applyFont="1" applyProtection="1"/>
    <xf numFmtId="0" fontId="8" fillId="0" borderId="0" xfId="0" applyFont="1" applyBorder="1" applyProtection="1"/>
    <xf numFmtId="164" fontId="8" fillId="0" borderId="0" xfId="0" applyNumberFormat="1" applyFont="1" applyProtection="1"/>
    <xf numFmtId="168" fontId="8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0" xfId="0" applyFont="1" applyBorder="1" applyProtection="1"/>
    <xf numFmtId="164" fontId="8" fillId="0" borderId="0" xfId="0" applyNumberFormat="1" applyFont="1" applyAlignment="1" applyProtection="1">
      <alignment horizontal="right"/>
    </xf>
    <xf numFmtId="174" fontId="29" fillId="0" borderId="39" xfId="0" quotePrefix="1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horizontal="center"/>
    </xf>
    <xf numFmtId="174" fontId="31" fillId="0" borderId="0" xfId="0" applyNumberFormat="1" applyFont="1" applyAlignment="1" applyProtection="1">
      <alignment horizontal="left" vertical="top"/>
    </xf>
    <xf numFmtId="174" fontId="31" fillId="0" borderId="0" xfId="0" applyNumberFormat="1" applyFont="1" applyAlignment="1" applyProtection="1">
      <alignment horizontal="left"/>
    </xf>
    <xf numFmtId="0" fontId="31" fillId="0" borderId="0" xfId="0" quotePrefix="1" applyFont="1" applyProtection="1"/>
    <xf numFmtId="0" fontId="31" fillId="0" borderId="0" xfId="0" applyFont="1" applyFill="1" applyBorder="1" applyProtection="1"/>
    <xf numFmtId="0" fontId="8" fillId="0" borderId="0" xfId="0" applyFont="1" applyFill="1" applyProtection="1"/>
    <xf numFmtId="174" fontId="37" fillId="9" borderId="26" xfId="0" applyNumberFormat="1" applyFont="1" applyFill="1" applyBorder="1" applyAlignment="1" applyProtection="1">
      <alignment horizontal="right" wrapText="1"/>
    </xf>
    <xf numFmtId="1" fontId="8" fillId="9" borderId="39" xfId="0" applyNumberFormat="1" applyFont="1" applyFill="1" applyBorder="1" applyProtection="1"/>
    <xf numFmtId="1" fontId="8" fillId="9" borderId="90" xfId="0" applyNumberFormat="1" applyFont="1" applyFill="1" applyBorder="1" applyProtection="1"/>
    <xf numFmtId="1" fontId="8" fillId="9" borderId="60" xfId="0" applyNumberFormat="1" applyFont="1" applyFill="1" applyBorder="1" applyProtection="1"/>
    <xf numFmtId="1" fontId="8" fillId="9" borderId="90" xfId="4" applyNumberFormat="1" applyFont="1" applyFill="1" applyBorder="1" applyProtection="1"/>
    <xf numFmtId="164" fontId="8" fillId="9" borderId="60" xfId="4" applyNumberFormat="1" applyFont="1" applyFill="1" applyBorder="1" applyProtection="1"/>
    <xf numFmtId="164" fontId="8" fillId="9" borderId="90" xfId="4" applyNumberFormat="1" applyFont="1" applyFill="1" applyBorder="1" applyProtection="1"/>
    <xf numFmtId="2" fontId="8" fillId="9" borderId="90" xfId="4" applyNumberFormat="1" applyFont="1" applyFill="1" applyBorder="1" applyProtection="1"/>
    <xf numFmtId="2" fontId="8" fillId="9" borderId="26" xfId="4" applyNumberFormat="1" applyFont="1" applyFill="1" applyBorder="1" applyProtection="1"/>
    <xf numFmtId="2" fontId="8" fillId="9" borderId="91" xfId="4" applyNumberFormat="1" applyFont="1" applyFill="1" applyBorder="1" applyProtection="1"/>
    <xf numFmtId="0" fontId="39" fillId="0" borderId="0" xfId="0" applyFont="1" applyProtection="1"/>
    <xf numFmtId="0" fontId="6" fillId="0" borderId="0" xfId="0" applyFont="1" applyBorder="1" applyAlignment="1" applyProtection="1">
      <alignment horizontal="center" vertical="center" wrapText="1"/>
    </xf>
    <xf numFmtId="2" fontId="8" fillId="0" borderId="0" xfId="0" applyNumberFormat="1" applyFont="1" applyProtection="1"/>
    <xf numFmtId="164" fontId="0" fillId="9" borderId="39" xfId="0" applyNumberFormat="1" applyFont="1" applyFill="1" applyBorder="1" applyProtection="1"/>
    <xf numFmtId="164" fontId="0" fillId="9" borderId="40" xfId="0" applyNumberFormat="1" applyFont="1" applyFill="1" applyBorder="1" applyProtection="1"/>
    <xf numFmtId="164" fontId="8" fillId="9" borderId="93" xfId="0" applyNumberFormat="1" applyFont="1" applyFill="1" applyBorder="1" applyProtection="1"/>
    <xf numFmtId="164" fontId="0" fillId="9" borderId="60" xfId="0" applyNumberFormat="1" applyFont="1" applyFill="1" applyBorder="1" applyProtection="1"/>
    <xf numFmtId="164" fontId="0" fillId="9" borderId="61" xfId="0" applyNumberFormat="1" applyFont="1" applyFill="1" applyBorder="1" applyProtection="1"/>
    <xf numFmtId="164" fontId="0" fillId="9" borderId="93" xfId="0" applyNumberFormat="1" applyFont="1" applyFill="1" applyBorder="1" applyProtection="1"/>
    <xf numFmtId="2" fontId="8" fillId="9" borderId="90" xfId="0" applyNumberFormat="1" applyFont="1" applyFill="1" applyBorder="1" applyAlignment="1" applyProtection="1">
      <alignment horizontal="right"/>
    </xf>
    <xf numFmtId="164" fontId="8" fillId="9" borderId="90" xfId="0" applyNumberFormat="1" applyFont="1" applyFill="1" applyBorder="1" applyAlignment="1" applyProtection="1">
      <alignment horizontal="right"/>
    </xf>
    <xf numFmtId="2" fontId="8" fillId="9" borderId="26" xfId="0" applyNumberFormat="1" applyFont="1" applyFill="1" applyBorder="1" applyAlignment="1" applyProtection="1">
      <alignment horizontal="right"/>
    </xf>
    <xf numFmtId="1" fontId="0" fillId="0" borderId="39" xfId="0" applyNumberFormat="1" applyFont="1" applyFill="1" applyBorder="1" applyAlignment="1" applyProtection="1">
      <alignment horizontal="right"/>
    </xf>
    <xf numFmtId="1" fontId="8" fillId="0" borderId="39" xfId="0" applyNumberFormat="1" applyFont="1" applyFill="1" applyBorder="1" applyAlignment="1" applyProtection="1">
      <alignment horizontal="right"/>
    </xf>
    <xf numFmtId="1" fontId="0" fillId="0" borderId="90" xfId="0" applyNumberFormat="1" applyFont="1" applyFill="1" applyBorder="1" applyAlignment="1" applyProtection="1">
      <alignment horizontal="right"/>
    </xf>
    <xf numFmtId="1" fontId="0" fillId="9" borderId="39" xfId="0" applyNumberFormat="1" applyFont="1" applyFill="1" applyBorder="1" applyAlignment="1" applyProtection="1">
      <alignment horizontal="right"/>
    </xf>
    <xf numFmtId="1" fontId="8" fillId="9" borderId="39" xfId="0" applyNumberFormat="1" applyFont="1" applyFill="1" applyBorder="1" applyAlignment="1" applyProtection="1">
      <alignment horizontal="right"/>
    </xf>
    <xf numFmtId="1" fontId="0" fillId="9" borderId="90" xfId="0" applyNumberFormat="1" applyFont="1" applyFill="1" applyBorder="1" applyAlignment="1" applyProtection="1">
      <alignment horizontal="right"/>
    </xf>
    <xf numFmtId="1" fontId="0" fillId="9" borderId="60" xfId="0" applyNumberFormat="1" applyFont="1" applyFill="1" applyBorder="1" applyAlignment="1" applyProtection="1">
      <alignment horizontal="right"/>
    </xf>
    <xf numFmtId="164" fontId="0" fillId="9" borderId="110" xfId="0" applyNumberFormat="1" applyFont="1" applyFill="1" applyBorder="1" applyAlignment="1" applyProtection="1">
      <alignment horizontal="right"/>
    </xf>
    <xf numFmtId="167" fontId="0" fillId="10" borderId="0" xfId="0" applyNumberFormat="1" applyFill="1" applyBorder="1" applyAlignment="1" applyProtection="1">
      <alignment horizontal="center"/>
    </xf>
    <xf numFmtId="0" fontId="31" fillId="0" borderId="0" xfId="0" applyFont="1"/>
    <xf numFmtId="2" fontId="8" fillId="6" borderId="0" xfId="1" applyNumberFormat="1" applyFont="1" applyFill="1" applyBorder="1" applyAlignment="1" applyProtection="1">
      <alignment horizontal="center"/>
    </xf>
    <xf numFmtId="0" fontId="0" fillId="6" borderId="0" xfId="0" applyFont="1" applyFill="1" applyProtection="1"/>
    <xf numFmtId="0" fontId="7" fillId="5" borderId="2" xfId="2" applyBorder="1" applyAlignment="1" applyProtection="1">
      <alignment horizontal="center" wrapText="1"/>
    </xf>
    <xf numFmtId="0" fontId="40" fillId="0" borderId="0" xfId="0" applyFont="1" applyAlignment="1" applyProtection="1">
      <alignment horizontal="left" vertical="top"/>
    </xf>
    <xf numFmtId="1" fontId="1" fillId="0" borderId="5" xfId="0" applyNumberFormat="1" applyFont="1" applyBorder="1" applyAlignment="1" applyProtection="1">
      <alignment horizontal="center"/>
    </xf>
    <xf numFmtId="165" fontId="0" fillId="2" borderId="62" xfId="0" applyNumberFormat="1" applyFill="1" applyBorder="1" applyProtection="1"/>
    <xf numFmtId="164" fontId="0" fillId="2" borderId="109" xfId="0" applyNumberFormat="1" applyFill="1" applyBorder="1" applyProtection="1"/>
    <xf numFmtId="164" fontId="0" fillId="2" borderId="50" xfId="0" applyNumberFormat="1" applyFill="1" applyBorder="1" applyProtection="1"/>
    <xf numFmtId="2" fontId="0" fillId="2" borderId="50" xfId="0" applyNumberFormat="1" applyFill="1" applyBorder="1" applyProtection="1"/>
    <xf numFmtId="167" fontId="0" fillId="2" borderId="50" xfId="0" applyNumberFormat="1" applyFill="1" applyBorder="1" applyProtection="1"/>
    <xf numFmtId="167" fontId="0" fillId="2" borderId="111" xfId="0" applyNumberFormat="1" applyFill="1" applyBorder="1" applyProtection="1"/>
    <xf numFmtId="1" fontId="1" fillId="0" borderId="104" xfId="0" applyNumberFormat="1" applyFont="1" applyBorder="1" applyAlignment="1" applyProtection="1">
      <alignment horizontal="center"/>
    </xf>
    <xf numFmtId="0" fontId="7" fillId="5" borderId="112" xfId="2" applyBorder="1" applyProtection="1">
      <protection locked="0"/>
    </xf>
    <xf numFmtId="0" fontId="7" fillId="5" borderId="113" xfId="2" applyBorder="1" applyProtection="1">
      <protection locked="0"/>
    </xf>
    <xf numFmtId="0" fontId="7" fillId="5" borderId="11" xfId="2" applyBorder="1" applyProtection="1">
      <protection locked="0"/>
    </xf>
    <xf numFmtId="164" fontId="0" fillId="6" borderId="22" xfId="0" applyNumberFormat="1" applyFill="1" applyBorder="1" applyAlignment="1" applyProtection="1">
      <alignment horizontal="center"/>
    </xf>
    <xf numFmtId="164" fontId="0" fillId="6" borderId="6" xfId="0" applyNumberFormat="1" applyFill="1" applyBorder="1" applyAlignment="1" applyProtection="1">
      <alignment horizontal="center"/>
    </xf>
    <xf numFmtId="164" fontId="0" fillId="6" borderId="65" xfId="0" applyNumberFormat="1" applyFill="1" applyBorder="1" applyAlignment="1" applyProtection="1">
      <alignment horizontal="center"/>
    </xf>
    <xf numFmtId="164" fontId="0" fillId="6" borderId="23" xfId="0" applyNumberFormat="1" applyFill="1" applyBorder="1" applyAlignment="1" applyProtection="1">
      <alignment horizontal="center"/>
    </xf>
    <xf numFmtId="164" fontId="0" fillId="6" borderId="24" xfId="0" applyNumberFormat="1" applyFill="1" applyBorder="1" applyAlignment="1" applyProtection="1">
      <alignment horizontal="center"/>
    </xf>
    <xf numFmtId="0" fontId="0" fillId="0" borderId="4" xfId="0" applyFont="1" applyBorder="1" applyProtection="1"/>
    <xf numFmtId="0" fontId="0" fillId="0" borderId="5" xfId="0" applyFont="1" applyBorder="1" applyProtection="1"/>
    <xf numFmtId="0" fontId="0" fillId="0" borderId="7" xfId="0" applyFont="1" applyBorder="1" applyProtection="1"/>
    <xf numFmtId="0" fontId="7" fillId="5" borderId="37" xfId="2" applyBorder="1" applyProtection="1">
      <protection locked="0"/>
    </xf>
    <xf numFmtId="0" fontId="7" fillId="5" borderId="114" xfId="2" applyBorder="1" applyProtection="1">
      <protection locked="0"/>
    </xf>
    <xf numFmtId="0" fontId="7" fillId="5" borderId="0" xfId="2" applyBorder="1" applyProtection="1">
      <protection locked="0"/>
    </xf>
    <xf numFmtId="0" fontId="0" fillId="0" borderId="10" xfId="0" applyFont="1" applyBorder="1" applyProtection="1"/>
    <xf numFmtId="0" fontId="7" fillId="5" borderId="115" xfId="2" applyBorder="1" applyProtection="1">
      <protection locked="0"/>
    </xf>
    <xf numFmtId="0" fontId="0" fillId="0" borderId="11" xfId="0" applyFont="1" applyBorder="1" applyProtection="1"/>
    <xf numFmtId="0" fontId="0" fillId="11" borderId="0" xfId="0" applyFill="1" applyProtection="1"/>
    <xf numFmtId="0" fontId="1" fillId="0" borderId="0" xfId="0" applyFont="1" applyProtection="1"/>
    <xf numFmtId="0" fontId="1" fillId="0" borderId="21" xfId="0" applyFont="1" applyBorder="1" applyProtection="1"/>
    <xf numFmtId="0" fontId="0" fillId="0" borderId="21" xfId="0" applyBorder="1" applyProtection="1"/>
    <xf numFmtId="0" fontId="0" fillId="0" borderId="21" xfId="0" applyFont="1" applyBorder="1" applyProtection="1"/>
    <xf numFmtId="0" fontId="0" fillId="2" borderId="0" xfId="0" applyFont="1" applyFill="1" applyProtection="1"/>
    <xf numFmtId="0" fontId="1" fillId="0" borderId="0" xfId="0" applyFont="1" applyAlignment="1" applyProtection="1">
      <alignment horizontal="center"/>
    </xf>
    <xf numFmtId="0" fontId="41" fillId="7" borderId="1" xfId="0" applyFont="1" applyFill="1" applyBorder="1" applyAlignment="1" applyProtection="1">
      <alignment horizontal="center"/>
    </xf>
    <xf numFmtId="0" fontId="1" fillId="7" borderId="1" xfId="0" applyFont="1" applyFill="1" applyBorder="1" applyProtection="1"/>
    <xf numFmtId="0" fontId="4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0" fontId="5" fillId="0" borderId="0" xfId="0" applyFont="1" applyProtection="1"/>
    <xf numFmtId="0" fontId="0" fillId="12" borderId="0" xfId="0" applyFill="1" applyProtection="1"/>
    <xf numFmtId="0" fontId="41" fillId="2" borderId="0" xfId="0" applyFont="1" applyFill="1" applyProtection="1"/>
    <xf numFmtId="0" fontId="0" fillId="0" borderId="0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horizontal="center"/>
    </xf>
    <xf numFmtId="0" fontId="0" fillId="6" borderId="0" xfId="0" applyFont="1" applyFill="1" applyAlignment="1" applyProtection="1">
      <alignment horizontal="left" wrapText="1"/>
    </xf>
    <xf numFmtId="0" fontId="1" fillId="0" borderId="12" xfId="0" applyFont="1" applyBorder="1" applyProtection="1"/>
    <xf numFmtId="164" fontId="8" fillId="6" borderId="2" xfId="1" applyNumberFormat="1" applyFont="1" applyFill="1" applyBorder="1" applyAlignment="1" applyProtection="1">
      <alignment horizontal="center"/>
    </xf>
    <xf numFmtId="164" fontId="8" fillId="6" borderId="28" xfId="1" applyNumberFormat="1" applyFont="1" applyFill="1" applyBorder="1" applyAlignment="1" applyProtection="1">
      <alignment horizontal="center"/>
    </xf>
    <xf numFmtId="0" fontId="0" fillId="6" borderId="0" xfId="0" applyFont="1" applyFill="1" applyBorder="1" applyAlignment="1" applyProtection="1">
      <alignment horizontal="left" wrapText="1"/>
    </xf>
    <xf numFmtId="164" fontId="0" fillId="6" borderId="10" xfId="0" applyNumberFormat="1" applyFill="1" applyBorder="1" applyAlignment="1" applyProtection="1">
      <alignment horizontal="center"/>
    </xf>
    <xf numFmtId="167" fontId="0" fillId="6" borderId="28" xfId="0" applyNumberFormat="1" applyFill="1" applyBorder="1" applyAlignment="1" applyProtection="1">
      <alignment horizontal="center"/>
    </xf>
    <xf numFmtId="0" fontId="22" fillId="6" borderId="0" xfId="0" applyFont="1" applyFill="1" applyBorder="1" applyAlignment="1" applyProtection="1">
      <alignment horizontal="left" vertical="center" wrapText="1"/>
    </xf>
    <xf numFmtId="0" fontId="7" fillId="0" borderId="39" xfId="2" applyFill="1" applyBorder="1" applyAlignment="1" applyProtection="1">
      <alignment horizontal="center"/>
    </xf>
    <xf numFmtId="0" fontId="42" fillId="0" borderId="1" xfId="0" applyFont="1" applyBorder="1" applyAlignment="1" applyProtection="1">
      <alignment horizontal="center"/>
      <protection locked="0"/>
    </xf>
    <xf numFmtId="164" fontId="8" fillId="6" borderId="113" xfId="1" applyNumberFormat="1" applyFont="1" applyFill="1" applyBorder="1" applyAlignment="1" applyProtection="1">
      <alignment horizontal="center"/>
    </xf>
    <xf numFmtId="164" fontId="8" fillId="6" borderId="3" xfId="1" applyNumberFormat="1" applyFont="1" applyFill="1" applyBorder="1" applyAlignment="1" applyProtection="1">
      <alignment horizontal="center"/>
    </xf>
    <xf numFmtId="164" fontId="0" fillId="6" borderId="8" xfId="0" applyNumberForma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right"/>
    </xf>
    <xf numFmtId="0" fontId="0" fillId="0" borderId="30" xfId="0" applyFill="1" applyBorder="1" applyAlignment="1" applyProtection="1">
      <alignment horizontal="right"/>
    </xf>
    <xf numFmtId="2" fontId="8" fillId="6" borderId="5" xfId="1" applyNumberFormat="1" applyFont="1" applyFill="1" applyBorder="1" applyAlignment="1" applyProtection="1">
      <alignment horizontal="center"/>
    </xf>
    <xf numFmtId="0" fontId="0" fillId="6" borderId="8" xfId="0" applyFont="1" applyFill="1" applyBorder="1" applyProtection="1"/>
    <xf numFmtId="0" fontId="22" fillId="6" borderId="11" xfId="0" applyFont="1" applyFill="1" applyBorder="1" applyAlignment="1" applyProtection="1">
      <alignment horizontal="left" vertical="center" wrapText="1"/>
    </xf>
    <xf numFmtId="0" fontId="6" fillId="0" borderId="78" xfId="0" applyFont="1" applyBorder="1" applyAlignment="1" applyProtection="1">
      <alignment horizontal="center" vertical="center" wrapText="1"/>
    </xf>
    <xf numFmtId="0" fontId="6" fillId="0" borderId="79" xfId="0" applyFont="1" applyBorder="1" applyAlignment="1" applyProtection="1">
      <alignment horizontal="center" vertical="center" wrapText="1"/>
    </xf>
    <xf numFmtId="0" fontId="6" fillId="0" borderId="8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0" fillId="6" borderId="0" xfId="0" applyFont="1" applyFill="1" applyAlignment="1" applyProtection="1">
      <alignment horizontal="left" wrapText="1"/>
    </xf>
    <xf numFmtId="0" fontId="0" fillId="6" borderId="11" xfId="0" applyFont="1" applyFill="1" applyBorder="1" applyAlignment="1" applyProtection="1">
      <alignment horizontal="left" wrapText="1"/>
    </xf>
    <xf numFmtId="0" fontId="9" fillId="0" borderId="78" xfId="0" applyFont="1" applyBorder="1" applyAlignment="1" applyProtection="1">
      <alignment horizontal="center" vertical="center"/>
    </xf>
    <xf numFmtId="0" fontId="9" fillId="0" borderId="79" xfId="0" applyFont="1" applyBorder="1" applyAlignment="1" applyProtection="1">
      <alignment horizontal="center" vertical="center"/>
    </xf>
    <xf numFmtId="0" fontId="9" fillId="0" borderId="80" xfId="0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75" fontId="1" fillId="0" borderId="1" xfId="0" applyNumberFormat="1" applyFont="1" applyBorder="1" applyAlignment="1" applyProtection="1">
      <alignment horizontal="center"/>
    </xf>
    <xf numFmtId="175" fontId="1" fillId="0" borderId="1" xfId="0" quotePrefix="1" applyNumberFormat="1" applyFont="1" applyBorder="1" applyAlignment="1" applyProtection="1">
      <alignment horizontal="center"/>
    </xf>
    <xf numFmtId="0" fontId="7" fillId="5" borderId="2" xfId="2" applyBorder="1" applyAlignment="1" applyProtection="1">
      <alignment horizontal="center" wrapText="1"/>
    </xf>
    <xf numFmtId="0" fontId="7" fillId="5" borderId="3" xfId="2" applyBorder="1" applyAlignment="1" applyProtection="1">
      <alignment horizontal="center" wrapText="1"/>
    </xf>
    <xf numFmtId="0" fontId="1" fillId="7" borderId="1" xfId="0" applyFont="1" applyFill="1" applyBorder="1" applyAlignment="1" applyProtection="1">
      <alignment horizontal="center"/>
    </xf>
    <xf numFmtId="175" fontId="1" fillId="7" borderId="1" xfId="0" applyNumberFormat="1" applyFont="1" applyFill="1" applyBorder="1" applyAlignment="1" applyProtection="1">
      <alignment horizontal="center"/>
    </xf>
    <xf numFmtId="0" fontId="0" fillId="6" borderId="0" xfId="0" applyFont="1" applyFill="1" applyBorder="1" applyAlignment="1" applyProtection="1">
      <alignment horizontal="left" vertical="top" wrapText="1"/>
    </xf>
    <xf numFmtId="0" fontId="0" fillId="6" borderId="11" xfId="0" applyFont="1" applyFill="1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0" fillId="9" borderId="1" xfId="0" applyFont="1" applyFill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center"/>
    </xf>
    <xf numFmtId="0" fontId="0" fillId="0" borderId="66" xfId="0" applyFont="1" applyFill="1" applyBorder="1" applyAlignment="1" applyProtection="1">
      <alignment horizontal="center"/>
    </xf>
    <xf numFmtId="0" fontId="0" fillId="9" borderId="12" xfId="0" applyFont="1" applyFill="1" applyBorder="1" applyAlignment="1" applyProtection="1">
      <alignment horizontal="center"/>
    </xf>
    <xf numFmtId="0" fontId="0" fillId="9" borderId="66" xfId="0" applyFont="1" applyFill="1" applyBorder="1" applyAlignment="1" applyProtection="1">
      <alignment horizontal="center"/>
    </xf>
    <xf numFmtId="0" fontId="0" fillId="9" borderId="34" xfId="0" applyFont="1" applyFill="1" applyBorder="1" applyAlignment="1" applyProtection="1">
      <alignment horizontal="center"/>
    </xf>
    <xf numFmtId="0" fontId="0" fillId="0" borderId="34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 wrapText="1"/>
    </xf>
    <xf numFmtId="0" fontId="18" fillId="0" borderId="34" xfId="0" applyFont="1" applyFill="1" applyBorder="1" applyAlignment="1" applyProtection="1">
      <alignment horizontal="center" wrapText="1"/>
    </xf>
    <xf numFmtId="0" fontId="18" fillId="9" borderId="12" xfId="0" applyFont="1" applyFill="1" applyBorder="1" applyAlignment="1" applyProtection="1">
      <alignment horizontal="center" wrapText="1"/>
    </xf>
    <xf numFmtId="0" fontId="18" fillId="9" borderId="34" xfId="0" applyFont="1" applyFill="1" applyBorder="1" applyAlignment="1" applyProtection="1">
      <alignment horizontal="center" wrapText="1"/>
    </xf>
    <xf numFmtId="0" fontId="7" fillId="10" borderId="4" xfId="2" applyFill="1" applyBorder="1" applyAlignment="1" applyProtection="1">
      <alignment horizontal="center"/>
    </xf>
    <xf numFmtId="0" fontId="7" fillId="10" borderId="9" xfId="2" applyFill="1" applyBorder="1" applyAlignment="1" applyProtection="1">
      <alignment horizontal="center"/>
    </xf>
    <xf numFmtId="0" fontId="7" fillId="10" borderId="10" xfId="2" applyFill="1" applyBorder="1" applyAlignment="1" applyProtection="1">
      <alignment horizontal="center"/>
    </xf>
    <xf numFmtId="0" fontId="7" fillId="10" borderId="11" xfId="2" applyFill="1" applyBorder="1" applyAlignment="1" applyProtection="1">
      <alignment horizontal="center"/>
    </xf>
    <xf numFmtId="0" fontId="0" fillId="10" borderId="17" xfId="0" applyFill="1" applyBorder="1" applyAlignment="1" applyProtection="1">
      <alignment horizontal="center"/>
    </xf>
    <xf numFmtId="0" fontId="0" fillId="10" borderId="30" xfId="0" applyFill="1" applyBorder="1" applyAlignment="1" applyProtection="1">
      <alignment horizontal="center"/>
    </xf>
    <xf numFmtId="167" fontId="0" fillId="10" borderId="4" xfId="0" applyNumberFormat="1" applyFill="1" applyBorder="1" applyAlignment="1" applyProtection="1">
      <alignment horizontal="center"/>
    </xf>
    <xf numFmtId="167" fontId="0" fillId="10" borderId="9" xfId="0" applyNumberFormat="1" applyFill="1" applyBorder="1" applyAlignment="1" applyProtection="1">
      <alignment horizontal="center"/>
    </xf>
    <xf numFmtId="166" fontId="0" fillId="10" borderId="10" xfId="0" applyNumberFormat="1" applyFill="1" applyBorder="1" applyAlignment="1" applyProtection="1">
      <alignment horizontal="center"/>
    </xf>
    <xf numFmtId="166" fontId="0" fillId="10" borderId="11" xfId="0" applyNumberFormat="1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</xf>
    <xf numFmtId="0" fontId="0" fillId="10" borderId="11" xfId="0" applyFill="1" applyBorder="1" applyAlignment="1" applyProtection="1">
      <alignment horizontal="center"/>
    </xf>
    <xf numFmtId="0" fontId="0" fillId="10" borderId="5" xfId="0" applyFill="1" applyBorder="1" applyAlignment="1" applyProtection="1">
      <alignment horizontal="center"/>
    </xf>
    <xf numFmtId="0" fontId="0" fillId="10" borderId="8" xfId="0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66" xfId="0" applyFont="1" applyFill="1" applyBorder="1" applyAlignment="1" applyProtection="1">
      <alignment horizontal="center"/>
    </xf>
    <xf numFmtId="0" fontId="18" fillId="0" borderId="34" xfId="0" applyFont="1" applyFill="1" applyBorder="1" applyAlignment="1" applyProtection="1">
      <alignment horizontal="center"/>
    </xf>
    <xf numFmtId="0" fontId="8" fillId="9" borderId="12" xfId="0" applyFont="1" applyFill="1" applyBorder="1" applyAlignment="1" applyProtection="1">
      <alignment horizontal="center"/>
    </xf>
    <xf numFmtId="0" fontId="8" fillId="9" borderId="66" xfId="0" applyFont="1" applyFill="1" applyBorder="1" applyAlignment="1" applyProtection="1">
      <alignment horizontal="center"/>
    </xf>
    <xf numFmtId="0" fontId="8" fillId="9" borderId="34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6" borderId="0" xfId="0" applyFont="1" applyFill="1" applyAlignment="1">
      <alignment horizontal="left" wrapText="1"/>
    </xf>
    <xf numFmtId="0" fontId="0" fillId="6" borderId="0" xfId="0" applyFont="1" applyFill="1" applyAlignment="1">
      <alignment horizontal="left"/>
    </xf>
    <xf numFmtId="0" fontId="0" fillId="6" borderId="11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7" fillId="5" borderId="2" xfId="2" applyBorder="1" applyAlignment="1">
      <alignment horizontal="center" wrapText="1"/>
    </xf>
    <xf numFmtId="0" fontId="7" fillId="5" borderId="3" xfId="2" applyBorder="1" applyAlignment="1">
      <alignment horizontal="center" wrapText="1"/>
    </xf>
    <xf numFmtId="0" fontId="18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6" borderId="11" xfId="0" applyFont="1" applyFill="1" applyBorder="1" applyAlignment="1">
      <alignment horizontal="left" wrapText="1"/>
    </xf>
    <xf numFmtId="0" fontId="0" fillId="6" borderId="6" xfId="0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5" fontId="36" fillId="0" borderId="1" xfId="0" applyNumberFormat="1" applyFont="1" applyBorder="1" applyAlignment="1" applyProtection="1">
      <alignment horizontal="center"/>
    </xf>
    <xf numFmtId="0" fontId="36" fillId="0" borderId="1" xfId="0" applyFont="1" applyBorder="1" applyAlignment="1" applyProtection="1">
      <alignment horizontal="center"/>
    </xf>
    <xf numFmtId="0" fontId="1" fillId="2" borderId="0" xfId="0" applyFont="1" applyFill="1" applyAlignment="1" applyProtection="1">
      <alignment horizontal="left" vertical="top" wrapText="1"/>
    </xf>
    <xf numFmtId="0" fontId="36" fillId="0" borderId="0" xfId="0" applyFont="1" applyAlignment="1" applyProtection="1">
      <alignment horizontal="center"/>
    </xf>
    <xf numFmtId="175" fontId="36" fillId="7" borderId="1" xfId="0" applyNumberFormat="1" applyFont="1" applyFill="1" applyBorder="1" applyAlignment="1" applyProtection="1">
      <alignment horizontal="center"/>
    </xf>
    <xf numFmtId="0" fontId="36" fillId="7" borderId="1" xfId="0" applyFont="1" applyFill="1" applyBorder="1" applyAlignment="1" applyProtection="1">
      <alignment horizontal="center"/>
    </xf>
    <xf numFmtId="175" fontId="36" fillId="0" borderId="1" xfId="0" quotePrefix="1" applyNumberFormat="1" applyFont="1" applyBorder="1" applyAlignment="1" applyProtection="1">
      <alignment horizontal="center"/>
    </xf>
    <xf numFmtId="0" fontId="36" fillId="0" borderId="12" xfId="0" applyFont="1" applyBorder="1" applyAlignment="1" applyProtection="1">
      <alignment horizontal="center"/>
    </xf>
    <xf numFmtId="0" fontId="36" fillId="0" borderId="66" xfId="0" applyFont="1" applyBorder="1" applyAlignment="1" applyProtection="1">
      <alignment horizontal="center"/>
    </xf>
    <xf numFmtId="0" fontId="36" fillId="0" borderId="34" xfId="0" applyFont="1" applyBorder="1" applyAlignment="1" applyProtection="1">
      <alignment horizontal="center"/>
    </xf>
    <xf numFmtId="0" fontId="0" fillId="6" borderId="6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wrapText="1"/>
    </xf>
  </cellXfs>
  <cellStyles count="5">
    <cellStyle name="Bad" xfId="1" builtinId="27"/>
    <cellStyle name="Good" xfId="2" builtinId="26"/>
    <cellStyle name="Neutral" xfId="4" builtinId="28"/>
    <cellStyle name="Normal" xfId="0" builtinId="0"/>
    <cellStyle name="Percent" xfId="3" builtinId="5"/>
  </cellStyles>
  <dxfs count="251"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rgb="FFC0000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C6EFCE"/>
      <color rgb="FF0061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400</a:t>
            </a:r>
            <a:r>
              <a:rPr lang="en-US" sz="1600" b="1" baseline="0"/>
              <a:t> 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299441814165661E-2"/>
          <c:y val="8.5251835781324475E-2"/>
          <c:w val="0.8769407846427606"/>
          <c:h val="0.767983871925310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'Round B1'!$U$14:$W$14</c:f>
              <c:strCache>
                <c:ptCount val="1"/>
                <c:pt idx="0">
                  <c:v>min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B1'!$B$50:$B$59</c:f>
              <c:strCache>
                <c:ptCount val="10"/>
                <c:pt idx="0">
                  <c:v>74</c:v>
                </c:pt>
                <c:pt idx="1">
                  <c:v>74*</c:v>
                </c:pt>
                <c:pt idx="2">
                  <c:v>47</c:v>
                </c:pt>
                <c:pt idx="3">
                  <c:v>29</c:v>
                </c:pt>
                <c:pt idx="4">
                  <c:v>18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strCache>
            </c:strRef>
          </c:cat>
          <c:val>
            <c:numRef>
              <c:f>'Round B1'!$AH$50:$AH$59</c:f>
              <c:numCache>
                <c:formatCode>0</c:formatCode>
                <c:ptCount val="10"/>
                <c:pt idx="0">
                  <c:v>114.74632405435122</c:v>
                </c:pt>
                <c:pt idx="1">
                  <c:v>113.02653128660296</c:v>
                </c:pt>
                <c:pt idx="2">
                  <c:v>49.585655881148448</c:v>
                </c:pt>
                <c:pt idx="3">
                  <c:v>17.799549857629788</c:v>
                </c:pt>
                <c:pt idx="4" formatCode="0.0">
                  <c:v>6.7852701114897176</c:v>
                </c:pt>
                <c:pt idx="5" formatCode="0.0">
                  <c:v>2.6903772741228802</c:v>
                </c:pt>
                <c:pt idx="6" formatCode="0.0">
                  <c:v>1.0566953483872743</c:v>
                </c:pt>
                <c:pt idx="7" formatCode="0.00">
                  <c:v>0.29399358302615847</c:v>
                </c:pt>
                <c:pt idx="8" formatCode="0.00">
                  <c:v>0.14496708965716193</c:v>
                </c:pt>
                <c:pt idx="9" formatCode="0.00">
                  <c:v>5.4238575173765985E-2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4-4B77-8224-10427974986A}"/>
            </c:ext>
          </c:extLst>
        </c:ser>
        <c:ser>
          <c:idx val="2"/>
          <c:order val="1"/>
          <c:tx>
            <c:v>delta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5DD-439B-B29F-74A995AE64C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5DD-439B-B29F-74A995AE64C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5DD-439B-B29F-74A995AE64C1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5DD-439B-B29F-74A995AE64C1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5DD-439B-B29F-74A995AE64C1}"/>
              </c:ext>
            </c:extLst>
          </c:dPt>
          <c:cat>
            <c:strRef>
              <c:f>'Round B1'!$B$50:$B$59</c:f>
              <c:strCache>
                <c:ptCount val="10"/>
                <c:pt idx="0">
                  <c:v>74</c:v>
                </c:pt>
                <c:pt idx="1">
                  <c:v>74*</c:v>
                </c:pt>
                <c:pt idx="2">
                  <c:v>47</c:v>
                </c:pt>
                <c:pt idx="3">
                  <c:v>29</c:v>
                </c:pt>
                <c:pt idx="4">
                  <c:v>18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strCache>
            </c:strRef>
          </c:cat>
          <c:val>
            <c:numRef>
              <c:f>'Round B1'!$AI$50:$AI$59</c:f>
              <c:numCache>
                <c:formatCode>0</c:formatCode>
                <c:ptCount val="10"/>
                <c:pt idx="0">
                  <c:v>170.49873957211182</c:v>
                </c:pt>
                <c:pt idx="1">
                  <c:v>167.94334181411983</c:v>
                </c:pt>
                <c:pt idx="2">
                  <c:v>164.02451983107957</c:v>
                </c:pt>
                <c:pt idx="3">
                  <c:v>61.421738080953773</c:v>
                </c:pt>
                <c:pt idx="4">
                  <c:v>23.450421724480179</c:v>
                </c:pt>
                <c:pt idx="5" formatCode="0.0">
                  <c:v>9.4026535017370456</c:v>
                </c:pt>
                <c:pt idx="6" formatCode="0.0">
                  <c:v>3.6746225052652122</c:v>
                </c:pt>
                <c:pt idx="7" formatCode="0.00">
                  <c:v>0.97451316823594558</c:v>
                </c:pt>
                <c:pt idx="8" formatCode="0.00">
                  <c:v>0.34624542197120961</c:v>
                </c:pt>
                <c:pt idx="9" formatCode="0.00">
                  <c:v>0.14268978850216274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4-4B77-8224-10427974986A}"/>
            </c:ext>
          </c:extLst>
        </c:ser>
        <c:ser>
          <c:idx val="0"/>
          <c:order val="2"/>
          <c:tx>
            <c:strRef>
              <c:f>'Round B1'!$X$14:$Z$14</c:f>
              <c:strCache>
                <c:ptCount val="1"/>
                <c:pt idx="0">
                  <c:v>max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B1'!$B$50:$B$59</c:f>
              <c:strCache>
                <c:ptCount val="10"/>
                <c:pt idx="0">
                  <c:v>74</c:v>
                </c:pt>
                <c:pt idx="1">
                  <c:v>74*</c:v>
                </c:pt>
                <c:pt idx="2">
                  <c:v>47</c:v>
                </c:pt>
                <c:pt idx="3">
                  <c:v>29</c:v>
                </c:pt>
                <c:pt idx="4">
                  <c:v>18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strCache>
            </c:strRef>
          </c:cat>
          <c:val>
            <c:numRef>
              <c:f>'Round B1'!$AG$50:$AG$59</c:f>
              <c:numCache>
                <c:formatCode>0</c:formatCode>
                <c:ptCount val="10"/>
                <c:pt idx="0">
                  <c:v>285.24506362646304</c:v>
                </c:pt>
                <c:pt idx="1">
                  <c:v>280.96987310072279</c:v>
                </c:pt>
                <c:pt idx="2">
                  <c:v>213.61017571222803</c:v>
                </c:pt>
                <c:pt idx="3">
                  <c:v>79.221287938583558</c:v>
                </c:pt>
                <c:pt idx="4">
                  <c:v>30.235691835969899</c:v>
                </c:pt>
                <c:pt idx="5">
                  <c:v>12.093030775859926</c:v>
                </c:pt>
                <c:pt idx="6" formatCode="0.0">
                  <c:v>4.7313178536524862</c:v>
                </c:pt>
                <c:pt idx="7" formatCode="0.0">
                  <c:v>1.268506751262104</c:v>
                </c:pt>
                <c:pt idx="8" formatCode="0.00">
                  <c:v>0.49121251162837154</c:v>
                </c:pt>
                <c:pt idx="9" formatCode="0.00">
                  <c:v>0.19692836367592872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4-4B77-8224-104279749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7453216"/>
        <c:axId val="177454000"/>
      </c:barChart>
      <c:catAx>
        <c:axId val="177453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Range</a:t>
                </a:r>
              </a:p>
            </c:rich>
          </c:tx>
          <c:layout>
            <c:manualLayout>
              <c:xMode val="edge"/>
              <c:yMode val="edge"/>
              <c:x val="0.48933727160208768"/>
              <c:y val="0.945949746493399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454000"/>
        <c:crosses val="autoZero"/>
        <c:auto val="1"/>
        <c:lblAlgn val="ctr"/>
        <c:lblOffset val="400"/>
        <c:tickMarkSkip val="1"/>
        <c:noMultiLvlLbl val="0"/>
      </c:catAx>
      <c:valAx>
        <c:axId val="177454000"/>
        <c:scaling>
          <c:logBase val="10"/>
          <c:orientation val="minMax"/>
          <c:max val="10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Flow, CFM</a:t>
                </a:r>
              </a:p>
            </c:rich>
          </c:tx>
          <c:layout>
            <c:manualLayout>
              <c:xMode val="edge"/>
              <c:yMode val="edge"/>
              <c:x val="9.1520577782191435E-3"/>
              <c:y val="0.4243790402879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453216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4000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464719169304046"/>
          <c:y val="8.9987526163060494E-2"/>
          <c:w val="0.74916528003085292"/>
          <c:h val="0.762342414362569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'Round B1'!$U$14:$W$14</c:f>
              <c:strCache>
                <c:ptCount val="1"/>
                <c:pt idx="0">
                  <c:v>min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B1'!$B$78:$B$81</c:f>
              <c:strCache>
                <c:ptCount val="4"/>
                <c:pt idx="0">
                  <c:v>Open</c:v>
                </c:pt>
                <c:pt idx="1">
                  <c:v>Ring A</c:v>
                </c:pt>
                <c:pt idx="2">
                  <c:v>B8</c:v>
                </c:pt>
                <c:pt idx="3">
                  <c:v>B4</c:v>
                </c:pt>
              </c:strCache>
            </c:strRef>
          </c:cat>
          <c:val>
            <c:numRef>
              <c:f>'Round B1'!$AH$78:$AH$81</c:f>
              <c:numCache>
                <c:formatCode>0</c:formatCode>
                <c:ptCount val="4"/>
                <c:pt idx="0">
                  <c:v>3578.2165169576538</c:v>
                </c:pt>
                <c:pt idx="1">
                  <c:v>2000.4223900906072</c:v>
                </c:pt>
                <c:pt idx="2">
                  <c:v>971.10932229488594</c:v>
                </c:pt>
                <c:pt idx="3">
                  <c:v>248.82749999999999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C-444F-B493-95556E621AF2}"/>
            </c:ext>
          </c:extLst>
        </c:ser>
        <c:ser>
          <c:idx val="2"/>
          <c:order val="1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'Round B1'!$B$78:$B$81</c:f>
              <c:strCache>
                <c:ptCount val="4"/>
                <c:pt idx="0">
                  <c:v>Open</c:v>
                </c:pt>
                <c:pt idx="1">
                  <c:v>Ring A</c:v>
                </c:pt>
                <c:pt idx="2">
                  <c:v>B8</c:v>
                </c:pt>
                <c:pt idx="3">
                  <c:v>B4</c:v>
                </c:pt>
              </c:strCache>
            </c:strRef>
          </c:cat>
          <c:val>
            <c:numRef>
              <c:f>'Round B1'!$AI$78:$AI$81</c:f>
              <c:numCache>
                <c:formatCode>0</c:formatCode>
                <c:ptCount val="4"/>
                <c:pt idx="0">
                  <c:v>3782.6824668513482</c:v>
                </c:pt>
                <c:pt idx="1">
                  <c:v>3450.5106369852474</c:v>
                </c:pt>
                <c:pt idx="2">
                  <c:v>2743.9569669635839</c:v>
                </c:pt>
                <c:pt idx="3">
                  <c:v>1005.4044075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C-444F-B493-95556E621AF2}"/>
            </c:ext>
          </c:extLst>
        </c:ser>
        <c:ser>
          <c:idx val="0"/>
          <c:order val="2"/>
          <c:tx>
            <c:strRef>
              <c:f>'Round B1'!$X$14:$Z$14</c:f>
              <c:strCache>
                <c:ptCount val="1"/>
                <c:pt idx="0">
                  <c:v>max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B1'!$B$78:$B$81</c:f>
              <c:strCache>
                <c:ptCount val="4"/>
                <c:pt idx="0">
                  <c:v>Open</c:v>
                </c:pt>
                <c:pt idx="1">
                  <c:v>Ring A</c:v>
                </c:pt>
                <c:pt idx="2">
                  <c:v>B8</c:v>
                </c:pt>
                <c:pt idx="3">
                  <c:v>B4</c:v>
                </c:pt>
              </c:strCache>
            </c:strRef>
          </c:cat>
          <c:val>
            <c:numRef>
              <c:f>'Round B1'!$AG$78:$AG$81</c:f>
              <c:numCache>
                <c:formatCode>0</c:formatCode>
                <c:ptCount val="4"/>
                <c:pt idx="0">
                  <c:v>7360.8989838090019</c:v>
                </c:pt>
                <c:pt idx="1">
                  <c:v>5450.9330270758546</c:v>
                </c:pt>
                <c:pt idx="2">
                  <c:v>3715.0662892584696</c:v>
                </c:pt>
                <c:pt idx="3">
                  <c:v>1254.2319075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C-444F-B493-95556E621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13775720"/>
        <c:axId val="613776112"/>
      </c:barChart>
      <c:catAx>
        <c:axId val="613775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Range</a:t>
                </a:r>
              </a:p>
            </c:rich>
          </c:tx>
          <c:layout>
            <c:manualLayout>
              <c:xMode val="edge"/>
              <c:yMode val="edge"/>
              <c:x val="0.48933729069606147"/>
              <c:y val="0.960750371007504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776112"/>
        <c:crosses val="autoZero"/>
        <c:auto val="1"/>
        <c:lblAlgn val="ctr"/>
        <c:lblOffset val="400"/>
        <c:tickMarkSkip val="1"/>
        <c:noMultiLvlLbl val="0"/>
      </c:catAx>
      <c:valAx>
        <c:axId val="613776112"/>
        <c:scaling>
          <c:logBase val="10"/>
          <c:orientation val="minMax"/>
          <c:max val="1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Flow, CFM</a:t>
                </a:r>
              </a:p>
            </c:rich>
          </c:tx>
          <c:layout>
            <c:manualLayout>
              <c:xMode val="edge"/>
              <c:yMode val="edge"/>
              <c:x val="1.5923358468730772E-2"/>
              <c:y val="0.42437899691320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775720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5000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776779220323356E-2"/>
          <c:y val="9.5977851722412563E-2"/>
          <c:w val="0.87766413953053801"/>
          <c:h val="0.7612107815694932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'Round B1'!$U$14:$W$14</c:f>
              <c:strCache>
                <c:ptCount val="1"/>
                <c:pt idx="0">
                  <c:v>min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B1'!$B$100:$B$108</c:f>
              <c:strCache>
                <c:ptCount val="9"/>
                <c:pt idx="0">
                  <c:v>Open</c:v>
                </c:pt>
                <c:pt idx="1">
                  <c:v>Ring A</c:v>
                </c:pt>
                <c:pt idx="2">
                  <c:v>B8</c:v>
                </c:pt>
                <c:pt idx="3">
                  <c:v>B4</c:v>
                </c:pt>
                <c:pt idx="4">
                  <c:v>B2</c:v>
                </c:pt>
                <c:pt idx="5">
                  <c:v>B1</c:v>
                </c:pt>
                <c:pt idx="6">
                  <c:v>B74</c:v>
                </c:pt>
                <c:pt idx="7">
                  <c:v>B47</c:v>
                </c:pt>
                <c:pt idx="8">
                  <c:v>B29</c:v>
                </c:pt>
              </c:strCache>
            </c:strRef>
          </c:cat>
          <c:val>
            <c:numRef>
              <c:f>'Round B1'!$AH$100:$AH$108</c:f>
              <c:numCache>
                <c:formatCode>0</c:formatCode>
                <c:ptCount val="9"/>
                <c:pt idx="0">
                  <c:v>2110.9308431866061</c:v>
                </c:pt>
                <c:pt idx="1">
                  <c:v>1291.2161653674448</c:v>
                </c:pt>
                <c:pt idx="2">
                  <c:v>830.13859566929511</c:v>
                </c:pt>
                <c:pt idx="3">
                  <c:v>392.67432647625566</c:v>
                </c:pt>
                <c:pt idx="4">
                  <c:v>188.36</c:v>
                </c:pt>
                <c:pt idx="5">
                  <c:v>110.7</c:v>
                </c:pt>
                <c:pt idx="6">
                  <c:v>36.505783999999998</c:v>
                </c:pt>
                <c:pt idx="7">
                  <c:v>21.110993013833834</c:v>
                </c:pt>
                <c:pt idx="8" formatCode="0.0">
                  <c:v>9.141375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0-4046-9159-3531684FB18E}"/>
            </c:ext>
          </c:extLst>
        </c:ser>
        <c:ser>
          <c:idx val="2"/>
          <c:order val="1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'Round B1'!$B$100:$B$108</c:f>
              <c:strCache>
                <c:ptCount val="9"/>
                <c:pt idx="0">
                  <c:v>Open</c:v>
                </c:pt>
                <c:pt idx="1">
                  <c:v>Ring A</c:v>
                </c:pt>
                <c:pt idx="2">
                  <c:v>B8</c:v>
                </c:pt>
                <c:pt idx="3">
                  <c:v>B4</c:v>
                </c:pt>
                <c:pt idx="4">
                  <c:v>B2</c:v>
                </c:pt>
                <c:pt idx="5">
                  <c:v>B1</c:v>
                </c:pt>
                <c:pt idx="6">
                  <c:v>B74</c:v>
                </c:pt>
                <c:pt idx="7">
                  <c:v>B47</c:v>
                </c:pt>
                <c:pt idx="8">
                  <c:v>B29</c:v>
                </c:pt>
              </c:strCache>
            </c:strRef>
          </c:cat>
          <c:val>
            <c:numRef>
              <c:f>'Round B1'!$AI$100:$AI$108</c:f>
              <c:numCache>
                <c:formatCode>0</c:formatCode>
                <c:ptCount val="9"/>
                <c:pt idx="0">
                  <c:v>3582.76306285897</c:v>
                </c:pt>
                <c:pt idx="1">
                  <c:v>2994.6334821413311</c:v>
                </c:pt>
                <c:pt idx="2">
                  <c:v>1667.1835910424238</c:v>
                </c:pt>
                <c:pt idx="3">
                  <c:v>751.76462353994611</c:v>
                </c:pt>
                <c:pt idx="4">
                  <c:v>320.91384875</c:v>
                </c:pt>
                <c:pt idx="5">
                  <c:v>159.73504980468755</c:v>
                </c:pt>
                <c:pt idx="6">
                  <c:v>98.543143007812489</c:v>
                </c:pt>
                <c:pt idx="7">
                  <c:v>39.964313454869298</c:v>
                </c:pt>
                <c:pt idx="8">
                  <c:v>13.993201744140624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0-4046-9159-3531684FB18E}"/>
            </c:ext>
          </c:extLst>
        </c:ser>
        <c:ser>
          <c:idx val="0"/>
          <c:order val="2"/>
          <c:tx>
            <c:strRef>
              <c:f>'Round B1'!$X$14:$Z$14</c:f>
              <c:strCache>
                <c:ptCount val="1"/>
                <c:pt idx="0">
                  <c:v>max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B1'!$B$100:$B$108</c:f>
              <c:strCache>
                <c:ptCount val="9"/>
                <c:pt idx="0">
                  <c:v>Open</c:v>
                </c:pt>
                <c:pt idx="1">
                  <c:v>Ring A</c:v>
                </c:pt>
                <c:pt idx="2">
                  <c:v>B8</c:v>
                </c:pt>
                <c:pt idx="3">
                  <c:v>B4</c:v>
                </c:pt>
                <c:pt idx="4">
                  <c:v>B2</c:v>
                </c:pt>
                <c:pt idx="5">
                  <c:v>B1</c:v>
                </c:pt>
                <c:pt idx="6">
                  <c:v>B74</c:v>
                </c:pt>
                <c:pt idx="7">
                  <c:v>B47</c:v>
                </c:pt>
                <c:pt idx="8">
                  <c:v>B29</c:v>
                </c:pt>
              </c:strCache>
            </c:strRef>
          </c:cat>
          <c:val>
            <c:numRef>
              <c:f>'Round B1'!$AG$100:$AG$108</c:f>
              <c:numCache>
                <c:formatCode>0</c:formatCode>
                <c:ptCount val="9"/>
                <c:pt idx="0">
                  <c:v>5693.6939060455761</c:v>
                </c:pt>
                <c:pt idx="1">
                  <c:v>4285.8496475087759</c:v>
                </c:pt>
                <c:pt idx="2">
                  <c:v>2497.322186711719</c:v>
                </c:pt>
                <c:pt idx="3">
                  <c:v>1144.4389500162017</c:v>
                </c:pt>
                <c:pt idx="4">
                  <c:v>509.27384875000001</c:v>
                </c:pt>
                <c:pt idx="5">
                  <c:v>270.43504980468754</c:v>
                </c:pt>
                <c:pt idx="6">
                  <c:v>135.04892700781249</c:v>
                </c:pt>
                <c:pt idx="7">
                  <c:v>61.075306468703133</c:v>
                </c:pt>
                <c:pt idx="8">
                  <c:v>23.134576744140624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60-4046-9159-3531684FB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8078712"/>
        <c:axId val="638077928"/>
      </c:barChart>
      <c:catAx>
        <c:axId val="638078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Range</a:t>
                </a:r>
              </a:p>
            </c:rich>
          </c:tx>
          <c:layout>
            <c:manualLayout>
              <c:xMode val="edge"/>
              <c:yMode val="edge"/>
              <c:x val="0.48933729069606147"/>
              <c:y val="0.960750371007504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077928"/>
        <c:crosses val="autoZero"/>
        <c:auto val="1"/>
        <c:lblAlgn val="ctr"/>
        <c:lblOffset val="400"/>
        <c:tickMarkSkip val="1"/>
        <c:noMultiLvlLbl val="0"/>
      </c:catAx>
      <c:valAx>
        <c:axId val="638077928"/>
        <c:scaling>
          <c:logBase val="10"/>
          <c:orientation val="minMax"/>
          <c:max val="1000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Flow, CFM</a:t>
                </a:r>
              </a:p>
            </c:rich>
          </c:tx>
          <c:layout>
            <c:manualLayout>
              <c:xMode val="edge"/>
              <c:yMode val="edge"/>
              <c:x val="9.2096019128254172E-3"/>
              <c:y val="0.424379076028091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078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6000</a:t>
            </a:r>
            <a:r>
              <a:rPr lang="en-US" sz="16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720001370785509E-2"/>
          <c:y val="9.3820126596558764E-2"/>
          <c:w val="0.87634018024177851"/>
          <c:h val="0.771999448161876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'Round B1'!$U$14:$W$14</c:f>
              <c:strCache>
                <c:ptCount val="1"/>
                <c:pt idx="0">
                  <c:v>min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B1'!$B$100:$B$108</c:f>
              <c:strCache>
                <c:ptCount val="9"/>
                <c:pt idx="0">
                  <c:v>Open</c:v>
                </c:pt>
                <c:pt idx="1">
                  <c:v>Ring A</c:v>
                </c:pt>
                <c:pt idx="2">
                  <c:v>B8</c:v>
                </c:pt>
                <c:pt idx="3">
                  <c:v>B4</c:v>
                </c:pt>
                <c:pt idx="4">
                  <c:v>B2</c:v>
                </c:pt>
                <c:pt idx="5">
                  <c:v>B1</c:v>
                </c:pt>
                <c:pt idx="6">
                  <c:v>B74</c:v>
                </c:pt>
                <c:pt idx="7">
                  <c:v>B47</c:v>
                </c:pt>
                <c:pt idx="8">
                  <c:v>B29</c:v>
                </c:pt>
              </c:strCache>
            </c:strRef>
          </c:cat>
          <c:val>
            <c:numRef>
              <c:f>'Round B1'!$AH$110:$AH$118</c:f>
              <c:numCache>
                <c:formatCode>0</c:formatCode>
                <c:ptCount val="9"/>
                <c:pt idx="0">
                  <c:v>2722.4172179976167</c:v>
                </c:pt>
                <c:pt idx="1">
                  <c:v>1444.2679740660683</c:v>
                </c:pt>
                <c:pt idx="2" formatCode="0.0">
                  <c:v>830.13859566929511</c:v>
                </c:pt>
                <c:pt idx="3">
                  <c:v>347.94367999999997</c:v>
                </c:pt>
                <c:pt idx="4">
                  <c:v>141.625</c:v>
                </c:pt>
                <c:pt idx="5">
                  <c:v>94.660360000000011</c:v>
                </c:pt>
                <c:pt idx="6">
                  <c:v>36.505783999999998</c:v>
                </c:pt>
                <c:pt idx="7">
                  <c:v>21.110993013833834</c:v>
                </c:pt>
                <c:pt idx="8" formatCode="0.0">
                  <c:v>9.141375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6-47E8-8187-DE658D17D980}"/>
            </c:ext>
          </c:extLst>
        </c:ser>
        <c:ser>
          <c:idx val="2"/>
          <c:order val="1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'Round B1'!$B$100:$B$108</c:f>
              <c:strCache>
                <c:ptCount val="9"/>
                <c:pt idx="0">
                  <c:v>Open</c:v>
                </c:pt>
                <c:pt idx="1">
                  <c:v>Ring A</c:v>
                </c:pt>
                <c:pt idx="2">
                  <c:v>B8</c:v>
                </c:pt>
                <c:pt idx="3">
                  <c:v>B4</c:v>
                </c:pt>
                <c:pt idx="4">
                  <c:v>B2</c:v>
                </c:pt>
                <c:pt idx="5">
                  <c:v>B1</c:v>
                </c:pt>
                <c:pt idx="6">
                  <c:v>B74</c:v>
                </c:pt>
                <c:pt idx="7">
                  <c:v>B47</c:v>
                </c:pt>
                <c:pt idx="8">
                  <c:v>B29</c:v>
                </c:pt>
              </c:strCache>
            </c:strRef>
          </c:cat>
          <c:val>
            <c:numRef>
              <c:f>'Round B1'!$AI$110:$AI$118</c:f>
              <c:numCache>
                <c:formatCode>0</c:formatCode>
                <c:ptCount val="9"/>
                <c:pt idx="0">
                  <c:v>5021.7795976905172</c:v>
                </c:pt>
                <c:pt idx="1">
                  <c:v>3315.8480813574711</c:v>
                </c:pt>
                <c:pt idx="2">
                  <c:v>2086.8954188858206</c:v>
                </c:pt>
                <c:pt idx="3">
                  <c:v>940.11975749999999</c:v>
                </c:pt>
                <c:pt idx="4">
                  <c:v>399.26600000000008</c:v>
                </c:pt>
                <c:pt idx="5">
                  <c:v>199.33853184000003</c:v>
                </c:pt>
                <c:pt idx="6">
                  <c:v>124.38542894400001</c:v>
                </c:pt>
                <c:pt idx="7">
                  <c:v>51.078533132622326</c:v>
                </c:pt>
                <c:pt idx="8">
                  <c:v>17.278407222999999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6-47E8-8187-DE658D17D980}"/>
            </c:ext>
          </c:extLst>
        </c:ser>
        <c:ser>
          <c:idx val="0"/>
          <c:order val="2"/>
          <c:tx>
            <c:strRef>
              <c:f>'Round B1'!$X$14:$Z$14</c:f>
              <c:strCache>
                <c:ptCount val="1"/>
                <c:pt idx="0">
                  <c:v>max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B1'!$B$100:$B$108</c:f>
              <c:strCache>
                <c:ptCount val="9"/>
                <c:pt idx="0">
                  <c:v>Open</c:v>
                </c:pt>
                <c:pt idx="1">
                  <c:v>Ring A</c:v>
                </c:pt>
                <c:pt idx="2">
                  <c:v>B8</c:v>
                </c:pt>
                <c:pt idx="3">
                  <c:v>B4</c:v>
                </c:pt>
                <c:pt idx="4">
                  <c:v>B2</c:v>
                </c:pt>
                <c:pt idx="5">
                  <c:v>B1</c:v>
                </c:pt>
                <c:pt idx="6">
                  <c:v>B74</c:v>
                </c:pt>
                <c:pt idx="7">
                  <c:v>B47</c:v>
                </c:pt>
                <c:pt idx="8">
                  <c:v>B29</c:v>
                </c:pt>
              </c:strCache>
            </c:strRef>
          </c:cat>
          <c:val>
            <c:numRef>
              <c:f>'Round B1'!$AG$110:$AG$118</c:f>
              <c:numCache>
                <c:formatCode>0</c:formatCode>
                <c:ptCount val="9"/>
                <c:pt idx="0">
                  <c:v>7744.1968156881339</c:v>
                </c:pt>
                <c:pt idx="1">
                  <c:v>4760.1160554235394</c:v>
                </c:pt>
                <c:pt idx="2">
                  <c:v>2917.0340145551158</c:v>
                </c:pt>
                <c:pt idx="3">
                  <c:v>1288.0634375</c:v>
                </c:pt>
                <c:pt idx="4">
                  <c:v>540.89100000000008</c:v>
                </c:pt>
                <c:pt idx="5">
                  <c:v>293.99889184000006</c:v>
                </c:pt>
                <c:pt idx="6">
                  <c:v>160.89121294400002</c:v>
                </c:pt>
                <c:pt idx="7">
                  <c:v>72.18952614645616</c:v>
                </c:pt>
                <c:pt idx="8">
                  <c:v>26.419782222999999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46-47E8-8187-DE658D17D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6395080"/>
        <c:axId val="276395472"/>
      </c:barChart>
      <c:catAx>
        <c:axId val="27639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Range</a:t>
                </a:r>
              </a:p>
            </c:rich>
          </c:tx>
          <c:layout>
            <c:manualLayout>
              <c:xMode val="edge"/>
              <c:yMode val="edge"/>
              <c:x val="0.48933729069606147"/>
              <c:y val="0.960750371007504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395472"/>
        <c:crosses val="autoZero"/>
        <c:auto val="1"/>
        <c:lblAlgn val="ctr"/>
        <c:lblOffset val="400"/>
        <c:tickMarkSkip val="1"/>
        <c:noMultiLvlLbl val="0"/>
      </c:catAx>
      <c:valAx>
        <c:axId val="276395472"/>
        <c:scaling>
          <c:logBase val="10"/>
          <c:orientation val="minMax"/>
          <c:max val="1000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Flow, CFM</a:t>
                </a:r>
              </a:p>
            </c:rich>
          </c:tx>
          <c:layout>
            <c:manualLayout>
              <c:xMode val="edge"/>
              <c:yMode val="edge"/>
              <c:x val="9.2082103445584977E-3"/>
              <c:y val="0.42437914813047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395080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300</a:t>
            </a:r>
            <a:r>
              <a:rPr lang="en-US" sz="1600" baseline="0"/>
              <a:t> 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358423169225699E-2"/>
          <c:y val="8.8327535650573982E-2"/>
          <c:w val="0.90120501768882122"/>
          <c:h val="0.770626980099570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'Round B1'!$U$14:$W$14</c:f>
              <c:strCache>
                <c:ptCount val="1"/>
                <c:pt idx="0">
                  <c:v>min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B1'!$B$20:$B$27</c:f>
              <c:strCache>
                <c:ptCount val="8"/>
                <c:pt idx="0">
                  <c:v>Open</c:v>
                </c:pt>
                <c:pt idx="1">
                  <c:v>102</c:v>
                </c:pt>
                <c:pt idx="2">
                  <c:v>74</c:v>
                </c:pt>
                <c:pt idx="3">
                  <c:v>47</c:v>
                </c:pt>
                <c:pt idx="4">
                  <c:v>29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</c:strCache>
            </c:strRef>
          </c:cat>
          <c:val>
            <c:numRef>
              <c:f>'Round B1'!$AH$20:$AH$27</c:f>
              <c:numCache>
                <c:formatCode>0</c:formatCode>
                <c:ptCount val="8"/>
                <c:pt idx="0">
                  <c:v>129.67734776655371</c:v>
                </c:pt>
                <c:pt idx="1">
                  <c:v>161.95105358267432</c:v>
                </c:pt>
                <c:pt idx="2">
                  <c:v>27.746411586175977</c:v>
                </c:pt>
                <c:pt idx="3">
                  <c:v>10.248739327510611</c:v>
                </c:pt>
                <c:pt idx="4" formatCode="0.0">
                  <c:v>5.3549474623502169</c:v>
                </c:pt>
                <c:pt idx="5" formatCode="0.0">
                  <c:v>2.2776566936762075</c:v>
                </c:pt>
                <c:pt idx="6" formatCode="0.0">
                  <c:v>0.97515699216209595</c:v>
                </c:pt>
                <c:pt idx="7" formatCode="0.00">
                  <c:v>0.35899999999999999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B-421B-87E3-10899250A563}"/>
            </c:ext>
          </c:extLst>
        </c:ser>
        <c:ser>
          <c:idx val="2"/>
          <c:order val="1"/>
          <c:tx>
            <c:v>delta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EA5-4708-B4F5-DFBC25BCCBC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A5-4708-B4F5-DFBC25BCCBC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A5-4708-B4F5-DFBC25BCCBCB}"/>
              </c:ext>
            </c:extLst>
          </c:dPt>
          <c:cat>
            <c:strRef>
              <c:f>'Round B1'!$B$20:$B$27</c:f>
              <c:strCache>
                <c:ptCount val="8"/>
                <c:pt idx="0">
                  <c:v>Open</c:v>
                </c:pt>
                <c:pt idx="1">
                  <c:v>102</c:v>
                </c:pt>
                <c:pt idx="2">
                  <c:v>74</c:v>
                </c:pt>
                <c:pt idx="3">
                  <c:v>47</c:v>
                </c:pt>
                <c:pt idx="4">
                  <c:v>29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</c:strCache>
            </c:strRef>
          </c:cat>
          <c:val>
            <c:numRef>
              <c:f>'Round B1'!$AI$20:$AI$27</c:f>
              <c:numCache>
                <c:formatCode>0</c:formatCode>
                <c:ptCount val="8"/>
                <c:pt idx="0">
                  <c:v>630.81152541947517</c:v>
                </c:pt>
                <c:pt idx="1">
                  <c:v>365.55869785905185</c:v>
                </c:pt>
                <c:pt idx="2">
                  <c:v>164.26835862278665</c:v>
                </c:pt>
                <c:pt idx="3">
                  <c:v>72.379238726003891</c:v>
                </c:pt>
                <c:pt idx="4">
                  <c:v>26.321786707709091</c:v>
                </c:pt>
                <c:pt idx="5" formatCode="0.0">
                  <c:v>9.648538040521931</c:v>
                </c:pt>
                <c:pt idx="6" formatCode="0.0">
                  <c:v>3.8189850635971636</c:v>
                </c:pt>
                <c:pt idx="7" formatCode="0.0">
                  <c:v>1.527031707050547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B-421B-87E3-10899250A563}"/>
            </c:ext>
          </c:extLst>
        </c:ser>
        <c:ser>
          <c:idx val="0"/>
          <c:order val="2"/>
          <c:tx>
            <c:strRef>
              <c:f>'Round B1'!$X$14:$Z$14</c:f>
              <c:strCache>
                <c:ptCount val="1"/>
                <c:pt idx="0">
                  <c:v>max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B1'!$B$20:$B$27</c:f>
              <c:strCache>
                <c:ptCount val="8"/>
                <c:pt idx="0">
                  <c:v>Open</c:v>
                </c:pt>
                <c:pt idx="1">
                  <c:v>102</c:v>
                </c:pt>
                <c:pt idx="2">
                  <c:v>74</c:v>
                </c:pt>
                <c:pt idx="3">
                  <c:v>47</c:v>
                </c:pt>
                <c:pt idx="4">
                  <c:v>29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</c:strCache>
            </c:strRef>
          </c:cat>
          <c:val>
            <c:numRef>
              <c:f>'Round B1'!$AG$20:$AG$27</c:f>
              <c:numCache>
                <c:formatCode>0</c:formatCode>
                <c:ptCount val="8"/>
                <c:pt idx="0">
                  <c:v>760.48887318602885</c:v>
                </c:pt>
                <c:pt idx="1">
                  <c:v>527.50975144172617</c:v>
                </c:pt>
                <c:pt idx="2">
                  <c:v>192.01477020896263</c:v>
                </c:pt>
                <c:pt idx="3">
                  <c:v>82.627978053514497</c:v>
                </c:pt>
                <c:pt idx="4">
                  <c:v>31.676734170059309</c:v>
                </c:pt>
                <c:pt idx="5">
                  <c:v>11.926194734198138</c:v>
                </c:pt>
                <c:pt idx="6" formatCode="0.0">
                  <c:v>4.7941420557592593</c:v>
                </c:pt>
                <c:pt idx="7" formatCode="0.0">
                  <c:v>1.886031707050547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BB-421B-87E3-10899250A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8057168"/>
        <c:axId val="518057560"/>
      </c:barChart>
      <c:catAx>
        <c:axId val="518057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Range</a:t>
                </a:r>
              </a:p>
            </c:rich>
          </c:tx>
          <c:layout>
            <c:manualLayout>
              <c:xMode val="edge"/>
              <c:yMode val="edge"/>
              <c:x val="0.48933727178176634"/>
              <c:y val="0.94754999108526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>
                <a:alpha val="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057560"/>
        <c:crossesAt val="1"/>
        <c:auto val="1"/>
        <c:lblAlgn val="ctr"/>
        <c:lblOffset val="400"/>
        <c:tickMarkSkip val="1"/>
        <c:noMultiLvlLbl val="0"/>
      </c:catAx>
      <c:valAx>
        <c:axId val="518057560"/>
        <c:scaling>
          <c:logBase val="10"/>
          <c:orientation val="minMax"/>
          <c:max val="1000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Flow, CFM</a:t>
                </a:r>
              </a:p>
            </c:rich>
          </c:tx>
          <c:layout>
            <c:manualLayout>
              <c:xMode val="edge"/>
              <c:yMode val="edge"/>
              <c:x val="7.9030696197660219E-3"/>
              <c:y val="0.42437905448959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05716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340</a:t>
            </a:r>
            <a:r>
              <a:rPr lang="en-US" sz="1600" baseline="0"/>
              <a:t> 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280290714590316E-2"/>
          <c:y val="0.10356927883997592"/>
          <c:w val="0.88135122240600983"/>
          <c:h val="0.75331954767717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'Round B1'!$U$14:$W$14</c:f>
              <c:strCache>
                <c:ptCount val="1"/>
                <c:pt idx="0">
                  <c:v>min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B1'!$B$29:$B$37</c:f>
              <c:strCache>
                <c:ptCount val="9"/>
                <c:pt idx="0">
                  <c:v>Open</c:v>
                </c:pt>
                <c:pt idx="1">
                  <c:v>Open*</c:v>
                </c:pt>
                <c:pt idx="2">
                  <c:v>102</c:v>
                </c:pt>
                <c:pt idx="3">
                  <c:v>74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</c:strCache>
            </c:strRef>
          </c:cat>
          <c:val>
            <c:numRef>
              <c:f>'Round B1'!$AH$29:$AH$37</c:f>
              <c:numCache>
                <c:formatCode>0</c:formatCode>
                <c:ptCount val="9"/>
                <c:pt idx="0">
                  <c:v>129.67734776655371</c:v>
                </c:pt>
                <c:pt idx="1">
                  <c:v>133.56766819955033</c:v>
                </c:pt>
                <c:pt idx="2">
                  <c:v>161.95105358267432</c:v>
                </c:pt>
                <c:pt idx="3">
                  <c:v>27.746411586175977</c:v>
                </c:pt>
                <c:pt idx="4">
                  <c:v>10.248739327510611</c:v>
                </c:pt>
                <c:pt idx="5" formatCode="0.0">
                  <c:v>5.3549474623502169</c:v>
                </c:pt>
                <c:pt idx="6" formatCode="0.0">
                  <c:v>2.2776566936762075</c:v>
                </c:pt>
                <c:pt idx="7" formatCode="0.0">
                  <c:v>0.97515699216209595</c:v>
                </c:pt>
                <c:pt idx="8" formatCode="0.00">
                  <c:v>0.35899999999999999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6-4ACE-80B9-AE53D6E16AA4}"/>
            </c:ext>
          </c:extLst>
        </c:ser>
        <c:ser>
          <c:idx val="2"/>
          <c:order val="1"/>
          <c:tx>
            <c:v>delta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286-4CF6-B5AB-2517F9C4AC7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286-4CF6-B5AB-2517F9C4AC7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286-4CF6-B5AB-2517F9C4AC7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286-4CF6-B5AB-2517F9C4AC71}"/>
              </c:ext>
            </c:extLst>
          </c:dPt>
          <c:cat>
            <c:strRef>
              <c:f>'Round B1'!$B$29:$B$37</c:f>
              <c:strCache>
                <c:ptCount val="9"/>
                <c:pt idx="0">
                  <c:v>Open</c:v>
                </c:pt>
                <c:pt idx="1">
                  <c:v>Open*</c:v>
                </c:pt>
                <c:pt idx="2">
                  <c:v>102</c:v>
                </c:pt>
                <c:pt idx="3">
                  <c:v>74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</c:strCache>
            </c:strRef>
          </c:cat>
          <c:val>
            <c:numRef>
              <c:f>'Round B1'!$AI$29:$AI$37</c:f>
              <c:numCache>
                <c:formatCode>0</c:formatCode>
                <c:ptCount val="9"/>
                <c:pt idx="0">
                  <c:v>657.51153533900606</c:v>
                </c:pt>
                <c:pt idx="1">
                  <c:v>636.93354710359074</c:v>
                </c:pt>
                <c:pt idx="2">
                  <c:v>346.38956420817522</c:v>
                </c:pt>
                <c:pt idx="3">
                  <c:v>104.21868097779628</c:v>
                </c:pt>
                <c:pt idx="4">
                  <c:v>55.774145332547967</c:v>
                </c:pt>
                <c:pt idx="5">
                  <c:v>19.50296028474822</c:v>
                </c:pt>
                <c:pt idx="6" formatCode="0.0">
                  <c:v>7.5931898740969297</c:v>
                </c:pt>
                <c:pt idx="7" formatCode="0.0">
                  <c:v>3.0475516966096992</c:v>
                </c:pt>
                <c:pt idx="8" formatCode="0.0">
                  <c:v>1.2137439182231684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6-4ACE-80B9-AE53D6E16AA4}"/>
            </c:ext>
          </c:extLst>
        </c:ser>
        <c:ser>
          <c:idx val="0"/>
          <c:order val="2"/>
          <c:tx>
            <c:strRef>
              <c:f>'Round B1'!$X$14:$Z$14</c:f>
              <c:strCache>
                <c:ptCount val="1"/>
                <c:pt idx="0">
                  <c:v>max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B1'!$B$29:$B$37</c:f>
              <c:strCache>
                <c:ptCount val="9"/>
                <c:pt idx="0">
                  <c:v>Open</c:v>
                </c:pt>
                <c:pt idx="1">
                  <c:v>Open*</c:v>
                </c:pt>
                <c:pt idx="2">
                  <c:v>102</c:v>
                </c:pt>
                <c:pt idx="3">
                  <c:v>74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</c:strCache>
            </c:strRef>
          </c:cat>
          <c:val>
            <c:numRef>
              <c:f>'Round B1'!$AG$29:$AG$37</c:f>
              <c:numCache>
                <c:formatCode>0</c:formatCode>
                <c:ptCount val="9"/>
                <c:pt idx="0">
                  <c:v>787.18888310555974</c:v>
                </c:pt>
                <c:pt idx="1">
                  <c:v>770.50121530314107</c:v>
                </c:pt>
                <c:pt idx="2">
                  <c:v>508.34061779084954</c:v>
                </c:pt>
                <c:pt idx="3">
                  <c:v>131.96509256397226</c:v>
                </c:pt>
                <c:pt idx="4">
                  <c:v>66.02288466005858</c:v>
                </c:pt>
                <c:pt idx="5">
                  <c:v>24.857907747098437</c:v>
                </c:pt>
                <c:pt idx="6" formatCode="0.0">
                  <c:v>9.8708465677731372</c:v>
                </c:pt>
                <c:pt idx="7" formatCode="0.0">
                  <c:v>4.0227086887717949</c:v>
                </c:pt>
                <c:pt idx="8" formatCode="0.0">
                  <c:v>1.5727439182231684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6-4ACE-80B9-AE53D6E1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3201392"/>
        <c:axId val="573201784"/>
      </c:barChart>
      <c:catAx>
        <c:axId val="573201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Range</a:t>
                </a:r>
              </a:p>
            </c:rich>
          </c:tx>
          <c:layout>
            <c:manualLayout>
              <c:xMode val="edge"/>
              <c:yMode val="edge"/>
              <c:x val="0.48933729069606147"/>
              <c:y val="0.960750371007504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>
                <a:alpha val="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201784"/>
        <c:crosses val="autoZero"/>
        <c:auto val="1"/>
        <c:lblAlgn val="ctr"/>
        <c:lblOffset val="400"/>
        <c:tickMarkSkip val="1"/>
        <c:noMultiLvlLbl val="0"/>
      </c:catAx>
      <c:valAx>
        <c:axId val="573201784"/>
        <c:scaling>
          <c:logBase val="10"/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Flow, CFM</a:t>
                </a:r>
              </a:p>
            </c:rich>
          </c:tx>
          <c:layout>
            <c:manualLayout>
              <c:xMode val="edge"/>
              <c:yMode val="edge"/>
              <c:x val="7.8669813541404343E-3"/>
              <c:y val="0.424379138233046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20139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350</a:t>
            </a:r>
            <a:r>
              <a:rPr lang="en-US" sz="1600" baseline="0"/>
              <a:t> 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93073512828836E-2"/>
          <c:y val="8.7295225168377871E-2"/>
          <c:w val="0.88005890500538075"/>
          <c:h val="0.760661237940785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'Round B1'!$U$14:$W$14</c:f>
              <c:strCache>
                <c:ptCount val="1"/>
                <c:pt idx="0">
                  <c:v>min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'Round B1'!$B$39:$B$48</c:f>
              <c:numCache>
                <c:formatCode>0</c:formatCode>
                <c:ptCount val="10"/>
                <c:pt idx="0">
                  <c:v>102</c:v>
                </c:pt>
                <c:pt idx="1">
                  <c:v>74</c:v>
                </c:pt>
                <c:pt idx="2">
                  <c:v>47</c:v>
                </c:pt>
                <c:pt idx="3">
                  <c:v>29</c:v>
                </c:pt>
                <c:pt idx="4">
                  <c:v>18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cat>
          <c:val>
            <c:numRef>
              <c:f>'Round B1'!$AH$39:$AH$48</c:f>
              <c:numCache>
                <c:formatCode>0</c:formatCode>
                <c:ptCount val="10"/>
                <c:pt idx="0">
                  <c:v>161.95105358267432</c:v>
                </c:pt>
                <c:pt idx="1">
                  <c:v>27.746411586175977</c:v>
                </c:pt>
                <c:pt idx="2">
                  <c:v>10.248739327510611</c:v>
                </c:pt>
                <c:pt idx="3" formatCode="0.0">
                  <c:v>5.3549474623502169</c:v>
                </c:pt>
                <c:pt idx="4" formatCode="0.0">
                  <c:v>2.2776566936762075</c:v>
                </c:pt>
                <c:pt idx="5" formatCode="0.0">
                  <c:v>0.97515699216209595</c:v>
                </c:pt>
                <c:pt idx="6" formatCode="0.00">
                  <c:v>0.35899999999999999</c:v>
                </c:pt>
                <c:pt idx="7" formatCode="0.00">
                  <c:v>0.10290930740806853</c:v>
                </c:pt>
                <c:pt idx="8" formatCode="0.00">
                  <c:v>3.5794933608697899E-2</c:v>
                </c:pt>
                <c:pt idx="9" formatCode="0.00">
                  <c:v>1.8201419627220106E-2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7-4B33-ACE4-5C5059337FDA}"/>
            </c:ext>
          </c:extLst>
        </c:ser>
        <c:ser>
          <c:idx val="2"/>
          <c:order val="1"/>
          <c:tx>
            <c:v>delta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32-4855-8C97-226DC7CBFB5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532-4855-8C97-226DC7CBFB55}"/>
              </c:ext>
            </c:extLst>
          </c:dPt>
          <c:cat>
            <c:numRef>
              <c:f>'Round B1'!$B$39:$B$48</c:f>
              <c:numCache>
                <c:formatCode>0</c:formatCode>
                <c:ptCount val="10"/>
                <c:pt idx="0">
                  <c:v>102</c:v>
                </c:pt>
                <c:pt idx="1">
                  <c:v>74</c:v>
                </c:pt>
                <c:pt idx="2">
                  <c:v>47</c:v>
                </c:pt>
                <c:pt idx="3">
                  <c:v>29</c:v>
                </c:pt>
                <c:pt idx="4">
                  <c:v>18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cat>
          <c:val>
            <c:numRef>
              <c:f>'Round B1'!$AI$39:$AI$48</c:f>
              <c:numCache>
                <c:formatCode>0</c:formatCode>
                <c:ptCount val="10"/>
                <c:pt idx="0">
                  <c:v>373.92431734216672</c:v>
                </c:pt>
                <c:pt idx="1">
                  <c:v>173.27357578138898</c:v>
                </c:pt>
                <c:pt idx="2">
                  <c:v>77.316527871523135</c:v>
                </c:pt>
                <c:pt idx="3">
                  <c:v>27.230690816609872</c:v>
                </c:pt>
                <c:pt idx="4">
                  <c:v>9.9886637873019026</c:v>
                </c:pt>
                <c:pt idx="5" formatCode="0.0">
                  <c:v>3.9504335629729388</c:v>
                </c:pt>
                <c:pt idx="6" formatCode="0.0">
                  <c:v>1.5809291739648641</c:v>
                </c:pt>
                <c:pt idx="7" formatCode="0.00">
                  <c:v>0.42433028083656982</c:v>
                </c:pt>
                <c:pt idx="8" formatCode="0.00">
                  <c:v>0.17776835232812938</c:v>
                </c:pt>
                <c:pt idx="9" formatCode="0.00">
                  <c:v>8.3358347920796702E-2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77-4B33-ACE4-5C5059337FDA}"/>
            </c:ext>
          </c:extLst>
        </c:ser>
        <c:ser>
          <c:idx val="0"/>
          <c:order val="2"/>
          <c:tx>
            <c:strRef>
              <c:f>'Round B1'!$X$14:$Z$14</c:f>
              <c:strCache>
                <c:ptCount val="1"/>
                <c:pt idx="0">
                  <c:v>max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'Round B1'!$B$39:$B$48</c:f>
              <c:numCache>
                <c:formatCode>0</c:formatCode>
                <c:ptCount val="10"/>
                <c:pt idx="0">
                  <c:v>102</c:v>
                </c:pt>
                <c:pt idx="1">
                  <c:v>74</c:v>
                </c:pt>
                <c:pt idx="2">
                  <c:v>47</c:v>
                </c:pt>
                <c:pt idx="3">
                  <c:v>29</c:v>
                </c:pt>
                <c:pt idx="4">
                  <c:v>18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cat>
          <c:val>
            <c:numRef>
              <c:f>'Round B1'!$AG$39:$AG$48</c:f>
              <c:numCache>
                <c:formatCode>0</c:formatCode>
                <c:ptCount val="10"/>
                <c:pt idx="0">
                  <c:v>535.87537092484104</c:v>
                </c:pt>
                <c:pt idx="1">
                  <c:v>201.01998736756497</c:v>
                </c:pt>
                <c:pt idx="2">
                  <c:v>87.565267199033741</c:v>
                </c:pt>
                <c:pt idx="3">
                  <c:v>32.58563827896009</c:v>
                </c:pt>
                <c:pt idx="4">
                  <c:v>12.266320480978111</c:v>
                </c:pt>
                <c:pt idx="5" formatCode="0.0">
                  <c:v>4.9255905551350345</c:v>
                </c:pt>
                <c:pt idx="6" formatCode="0.0">
                  <c:v>1.9399291739648641</c:v>
                </c:pt>
                <c:pt idx="7" formatCode="0.00">
                  <c:v>0.52723958824463835</c:v>
                </c:pt>
                <c:pt idx="8" formatCode="0.00">
                  <c:v>0.21356328593682727</c:v>
                </c:pt>
                <c:pt idx="9" formatCode="0.00">
                  <c:v>0.10155976754801681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77-4B33-ACE4-5C5059337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704744"/>
        <c:axId val="392705136"/>
      </c:barChart>
      <c:catAx>
        <c:axId val="392704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Range</a:t>
                </a:r>
              </a:p>
            </c:rich>
          </c:tx>
          <c:layout>
            <c:manualLayout>
              <c:xMode val="edge"/>
              <c:yMode val="edge"/>
              <c:x val="0.48149013186688705"/>
              <c:y val="0.94267412765176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705136"/>
        <c:crosses val="autoZero"/>
        <c:auto val="1"/>
        <c:lblAlgn val="ctr"/>
        <c:lblOffset val="400"/>
        <c:tickMarkSkip val="1"/>
        <c:noMultiLvlLbl val="0"/>
      </c:catAx>
      <c:valAx>
        <c:axId val="392705136"/>
        <c:scaling>
          <c:logBase val="10"/>
          <c:orientation val="minMax"/>
          <c:max val="10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Flow, CFM</a:t>
                </a:r>
              </a:p>
            </c:rich>
          </c:tx>
          <c:layout>
            <c:manualLayout>
              <c:xMode val="edge"/>
              <c:yMode val="edge"/>
              <c:x val="9.1630801036477021E-3"/>
              <c:y val="0.42437904594677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7047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3000SR</a:t>
            </a:r>
            <a:r>
              <a:rPr lang="en-US" sz="16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85347771280977E-2"/>
          <c:y val="8.7346902298827134E-2"/>
          <c:w val="0.88873390350347847"/>
          <c:h val="0.771999448161876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'Round B1'!$U$14:$W$14</c:f>
              <c:strCache>
                <c:ptCount val="1"/>
                <c:pt idx="0">
                  <c:v>min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B1'!$B$62:$B$70</c:f>
              <c:strCache>
                <c:ptCount val="9"/>
                <c:pt idx="0">
                  <c:v>Open</c:v>
                </c:pt>
                <c:pt idx="1">
                  <c:v>A</c:v>
                </c:pt>
                <c:pt idx="2">
                  <c:v>B</c:v>
                </c:pt>
                <c:pt idx="3">
                  <c:v>C8</c:v>
                </c:pt>
                <c:pt idx="4">
                  <c:v>C6</c:v>
                </c:pt>
                <c:pt idx="5">
                  <c:v>C4</c:v>
                </c:pt>
                <c:pt idx="6">
                  <c:v>C2</c:v>
                </c:pt>
                <c:pt idx="7">
                  <c:v>C1</c:v>
                </c:pt>
                <c:pt idx="8">
                  <c:v>L4</c:v>
                </c:pt>
              </c:strCache>
            </c:strRef>
          </c:cat>
          <c:val>
            <c:numRef>
              <c:f>'Round B1'!$AH$62:$AH$70</c:f>
              <c:numCache>
                <c:formatCode>0</c:formatCode>
                <c:ptCount val="9"/>
                <c:pt idx="0">
                  <c:v>3682.3999802347703</c:v>
                </c:pt>
                <c:pt idx="1">
                  <c:v>1966.1630234802801</c:v>
                </c:pt>
                <c:pt idx="2">
                  <c:v>677.3166227447839</c:v>
                </c:pt>
                <c:pt idx="3">
                  <c:v>402.31263962247073</c:v>
                </c:pt>
                <c:pt idx="4">
                  <c:v>294.48442274225471</c:v>
                </c:pt>
                <c:pt idx="5">
                  <c:v>213.40816455330273</c:v>
                </c:pt>
                <c:pt idx="6">
                  <c:v>102.97857590452337</c:v>
                </c:pt>
                <c:pt idx="7">
                  <c:v>48.630403550205621</c:v>
                </c:pt>
                <c:pt idx="8">
                  <c:v>26.898235106975161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4-40A7-A805-0FDBFC6799BA}"/>
            </c:ext>
          </c:extLst>
        </c:ser>
        <c:ser>
          <c:idx val="2"/>
          <c:order val="1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'Round B1'!$B$62:$B$70</c:f>
              <c:strCache>
                <c:ptCount val="9"/>
                <c:pt idx="0">
                  <c:v>Open</c:v>
                </c:pt>
                <c:pt idx="1">
                  <c:v>A</c:v>
                </c:pt>
                <c:pt idx="2">
                  <c:v>B</c:v>
                </c:pt>
                <c:pt idx="3">
                  <c:v>C8</c:v>
                </c:pt>
                <c:pt idx="4">
                  <c:v>C6</c:v>
                </c:pt>
                <c:pt idx="5">
                  <c:v>C4</c:v>
                </c:pt>
                <c:pt idx="6">
                  <c:v>C2</c:v>
                </c:pt>
                <c:pt idx="7">
                  <c:v>C1</c:v>
                </c:pt>
                <c:pt idx="8">
                  <c:v>L4</c:v>
                </c:pt>
              </c:strCache>
            </c:strRef>
          </c:cat>
          <c:val>
            <c:numRef>
              <c:f>'Round B1'!$AI$62:$AI$70</c:f>
              <c:numCache>
                <c:formatCode>0</c:formatCode>
                <c:ptCount val="9"/>
                <c:pt idx="0">
                  <c:v>3362.4654804410898</c:v>
                </c:pt>
                <c:pt idx="1">
                  <c:v>2489.6865801098434</c:v>
                </c:pt>
                <c:pt idx="2">
                  <c:v>2194.3094769306017</c:v>
                </c:pt>
                <c:pt idx="3">
                  <c:v>1536.8637845655153</c:v>
                </c:pt>
                <c:pt idx="4">
                  <c:v>1218.7287890370851</c:v>
                </c:pt>
                <c:pt idx="5" formatCode="0.0">
                  <c:v>785.5236713499371</c:v>
                </c:pt>
                <c:pt idx="6" formatCode="0.0">
                  <c:v>409.85418808978307</c:v>
                </c:pt>
                <c:pt idx="7" formatCode="0.00">
                  <c:v>249.01093939642786</c:v>
                </c:pt>
                <c:pt idx="8" formatCode="0.00">
                  <c:v>52.029174904688404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4-40A7-A805-0FDBFC6799BA}"/>
            </c:ext>
          </c:extLst>
        </c:ser>
        <c:ser>
          <c:idx val="0"/>
          <c:order val="2"/>
          <c:tx>
            <c:strRef>
              <c:f>'Round B1'!$X$14:$Z$14</c:f>
              <c:strCache>
                <c:ptCount val="1"/>
                <c:pt idx="0">
                  <c:v>max Flow, CFM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'Round B1'!$B$62:$B$70</c:f>
              <c:strCache>
                <c:ptCount val="9"/>
                <c:pt idx="0">
                  <c:v>Open</c:v>
                </c:pt>
                <c:pt idx="1">
                  <c:v>A</c:v>
                </c:pt>
                <c:pt idx="2">
                  <c:v>B</c:v>
                </c:pt>
                <c:pt idx="3">
                  <c:v>C8</c:v>
                </c:pt>
                <c:pt idx="4">
                  <c:v>C6</c:v>
                </c:pt>
                <c:pt idx="5">
                  <c:v>C4</c:v>
                </c:pt>
                <c:pt idx="6">
                  <c:v>C2</c:v>
                </c:pt>
                <c:pt idx="7">
                  <c:v>C1</c:v>
                </c:pt>
                <c:pt idx="8">
                  <c:v>L4</c:v>
                </c:pt>
              </c:strCache>
            </c:strRef>
          </c:cat>
          <c:val>
            <c:numRef>
              <c:f>'Round B1'!$AG$62:$AG$70</c:f>
              <c:numCache>
                <c:formatCode>0</c:formatCode>
                <c:ptCount val="9"/>
                <c:pt idx="0">
                  <c:v>7044.86546067586</c:v>
                </c:pt>
                <c:pt idx="1">
                  <c:v>4455.8496035901235</c:v>
                </c:pt>
                <c:pt idx="2">
                  <c:v>2871.6260996753854</c:v>
                </c:pt>
                <c:pt idx="3">
                  <c:v>1939.176424187986</c:v>
                </c:pt>
                <c:pt idx="4">
                  <c:v>1513.2132117793399</c:v>
                </c:pt>
                <c:pt idx="5">
                  <c:v>998.93183590323986</c:v>
                </c:pt>
                <c:pt idx="6">
                  <c:v>512.83276399430645</c:v>
                </c:pt>
                <c:pt idx="7">
                  <c:v>297.64134294663347</c:v>
                </c:pt>
                <c:pt idx="8">
                  <c:v>78.927410011663568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94-40A7-A805-0FDBFC679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3102576"/>
        <c:axId val="503578656"/>
      </c:barChart>
      <c:catAx>
        <c:axId val="59310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Range</a:t>
                </a:r>
              </a:p>
            </c:rich>
          </c:tx>
          <c:layout>
            <c:manualLayout>
              <c:xMode val="edge"/>
              <c:yMode val="edge"/>
              <c:x val="0.48933728187777592"/>
              <c:y val="0.94802000888921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578656"/>
        <c:crosses val="autoZero"/>
        <c:auto val="1"/>
        <c:lblAlgn val="ctr"/>
        <c:lblOffset val="400"/>
        <c:tickMarkSkip val="1"/>
        <c:noMultiLvlLbl val="0"/>
      </c:catAx>
      <c:valAx>
        <c:axId val="503578656"/>
        <c:scaling>
          <c:logBase val="10"/>
          <c:orientation val="minMax"/>
          <c:max val="100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Flow, CFM</a:t>
                </a:r>
              </a:p>
            </c:rich>
          </c:tx>
          <c:layout>
            <c:manualLayout>
              <c:xMode val="edge"/>
              <c:yMode val="edge"/>
              <c:x val="1.3427051385735272E-3"/>
              <c:y val="0.424379080334062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1025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33619</xdr:colOff>
      <xdr:row>83</xdr:row>
      <xdr:rowOff>437029</xdr:rowOff>
    </xdr:from>
    <xdr:to>
      <xdr:col>5</xdr:col>
      <xdr:colOff>0</xdr:colOff>
      <xdr:row>83</xdr:row>
      <xdr:rowOff>2342029</xdr:rowOff>
    </xdr:to>
    <xdr:sp macro="" textlink="">
      <xdr:nvSpPr>
        <xdr:cNvPr id="13" name="Rectangular Callou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619" y="22826382"/>
          <a:ext cx="3574675" cy="1905000"/>
        </a:xfrm>
        <a:prstGeom prst="wedgeRectCallout">
          <a:avLst>
            <a:gd name="adj1" fmla="val -9698"/>
            <a:gd name="adj2" fmla="val 91050"/>
          </a:avLst>
        </a:prstGeom>
        <a:solidFill>
          <a:schemeClr val="accent6">
            <a:lumMod val="40000"/>
            <a:lumOff val="60000"/>
          </a:schemeClr>
        </a:solidFill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solidFill>
                <a:schemeClr val="accent6">
                  <a:lumMod val="75000"/>
                </a:schemeClr>
              </a:solidFill>
            </a:rPr>
            <a:t>1000, 2000, 3000, 5000, 6000 </a:t>
          </a:r>
          <a:r>
            <a:rPr lang="en-US" sz="1100" b="0">
              <a:solidFill>
                <a:schemeClr val="accent6">
                  <a:lumMod val="75000"/>
                </a:schemeClr>
              </a:solidFill>
            </a:rPr>
            <a:t>fans: </a:t>
          </a:r>
        </a:p>
        <a:p>
          <a:pPr algn="l"/>
          <a:r>
            <a:rPr lang="en-US" sz="1100" b="0">
              <a:solidFill>
                <a:schemeClr val="accent6">
                  <a:lumMod val="75000"/>
                </a:schemeClr>
              </a:solidFill>
            </a:rPr>
            <a:t>When fan flow</a:t>
          </a:r>
          <a:r>
            <a:rPr lang="en-US" sz="1100" b="0" baseline="0">
              <a:solidFill>
                <a:schemeClr val="accent6">
                  <a:lumMod val="75000"/>
                </a:schemeClr>
              </a:solidFill>
            </a:rPr>
            <a:t> is</a:t>
          </a:r>
          <a:r>
            <a:rPr lang="en-US" sz="1100" b="0">
              <a:solidFill>
                <a:schemeClr val="accent6">
                  <a:lumMod val="75000"/>
                </a:schemeClr>
              </a:solidFill>
            </a:rPr>
            <a:t> AWAY from operator, as illustrated below, remember to enter the </a:t>
          </a:r>
          <a:r>
            <a:rPr lang="en-US" sz="1100" b="1">
              <a:solidFill>
                <a:schemeClr val="accent6">
                  <a:lumMod val="75000"/>
                </a:schemeClr>
              </a:solidFill>
            </a:rPr>
            <a:t>negative sign</a:t>
          </a:r>
          <a:r>
            <a:rPr lang="en-US" sz="1100" b="0">
              <a:solidFill>
                <a:schemeClr val="accent6">
                  <a:lumMod val="75000"/>
                </a:schemeClr>
              </a:solidFill>
            </a:rPr>
            <a:t>, " </a:t>
          </a:r>
          <a:r>
            <a:rPr lang="en-US" sz="1100" b="1">
              <a:solidFill>
                <a:schemeClr val="accent6">
                  <a:lumMod val="75000"/>
                </a:schemeClr>
              </a:solidFill>
            </a:rPr>
            <a:t>-</a:t>
          </a:r>
          <a:r>
            <a:rPr lang="en-US" sz="1100" b="0">
              <a:solidFill>
                <a:schemeClr val="accent6">
                  <a:lumMod val="75000"/>
                </a:schemeClr>
              </a:solidFill>
            </a:rPr>
            <a:t> ", preceding the PrA value, or else the flow calculation will be incorrect.</a:t>
          </a:r>
        </a:p>
      </xdr:txBody>
    </xdr:sp>
    <xdr:clientData/>
  </xdr:twoCellAnchor>
  <xdr:twoCellAnchor>
    <xdr:from>
      <xdr:col>0</xdr:col>
      <xdr:colOff>44824</xdr:colOff>
      <xdr:row>74</xdr:row>
      <xdr:rowOff>42022</xdr:rowOff>
    </xdr:from>
    <xdr:to>
      <xdr:col>4</xdr:col>
      <xdr:colOff>705971</xdr:colOff>
      <xdr:row>74</xdr:row>
      <xdr:rowOff>2028264</xdr:rowOff>
    </xdr:to>
    <xdr:sp macro="" textlink="">
      <xdr:nvSpPr>
        <xdr:cNvPr id="12" name="Rectangular Callou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4824" y="17937816"/>
          <a:ext cx="3507441" cy="1986242"/>
        </a:xfrm>
        <a:prstGeom prst="wedgeRectCallout">
          <a:avLst>
            <a:gd name="adj1" fmla="val -9375"/>
            <a:gd name="adj2" fmla="val 87819"/>
          </a:avLst>
        </a:prstGeom>
        <a:solidFill>
          <a:schemeClr val="accent6">
            <a:lumMod val="40000"/>
            <a:lumOff val="60000"/>
          </a:schemeClr>
        </a:solidFill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solidFill>
                <a:schemeClr val="accent6">
                  <a:lumMod val="75000"/>
                </a:schemeClr>
              </a:solidFill>
            </a:rPr>
            <a:t>4000</a:t>
          </a:r>
          <a:r>
            <a:rPr lang="en-US" sz="1100">
              <a:solidFill>
                <a:schemeClr val="accent6">
                  <a:lumMod val="75000"/>
                </a:schemeClr>
              </a:solidFill>
            </a:rPr>
            <a:t> fans: </a:t>
          </a:r>
        </a:p>
        <a:p>
          <a:pPr algn="l"/>
          <a:r>
            <a:rPr lang="en-US" sz="1100">
              <a:solidFill>
                <a:schemeClr val="accent6">
                  <a:lumMod val="75000"/>
                </a:schemeClr>
              </a:solidFill>
            </a:rPr>
            <a:t>When fan flow is TOWARDS operator, as illustrated below, remember to enter the </a:t>
          </a:r>
          <a:r>
            <a:rPr lang="en-US" sz="1100" b="1">
              <a:solidFill>
                <a:schemeClr val="accent6">
                  <a:lumMod val="75000"/>
                </a:schemeClr>
              </a:solidFill>
            </a:rPr>
            <a:t>negative sign</a:t>
          </a:r>
          <a:r>
            <a:rPr lang="en-US" sz="1100">
              <a:solidFill>
                <a:schemeClr val="accent6">
                  <a:lumMod val="75000"/>
                </a:schemeClr>
              </a:solidFill>
            </a:rPr>
            <a:t>, "</a:t>
          </a:r>
          <a:r>
            <a:rPr lang="en-US" sz="1100" b="1">
              <a:solidFill>
                <a:schemeClr val="accent6">
                  <a:lumMod val="75000"/>
                </a:schemeClr>
              </a:solidFill>
            </a:rPr>
            <a:t> - </a:t>
          </a:r>
          <a:r>
            <a:rPr lang="en-US" sz="1100">
              <a:solidFill>
                <a:schemeClr val="accent6">
                  <a:lumMod val="75000"/>
                </a:schemeClr>
              </a:solidFill>
            </a:rPr>
            <a:t>", preceding the PrA value, or else the flow calculation will be incorrect.</a:t>
          </a:r>
        </a:p>
      </xdr:txBody>
    </xdr:sp>
    <xdr:clientData/>
  </xdr:twoCellAnchor>
  <xdr:twoCellAnchor editAs="oneCell">
    <xdr:from>
      <xdr:col>0</xdr:col>
      <xdr:colOff>123266</xdr:colOff>
      <xdr:row>83</xdr:row>
      <xdr:rowOff>1299882</xdr:rowOff>
    </xdr:from>
    <xdr:to>
      <xdr:col>2</xdr:col>
      <xdr:colOff>472490</xdr:colOff>
      <xdr:row>83</xdr:row>
      <xdr:rowOff>2265572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6" y="23689235"/>
          <a:ext cx="1738753" cy="965690"/>
        </a:xfrm>
        <a:prstGeom prst="rect">
          <a:avLst/>
        </a:prstGeom>
      </xdr:spPr>
    </xdr:pic>
    <xdr:clientData/>
  </xdr:twoCellAnchor>
  <xdr:twoCellAnchor editAs="oneCell">
    <xdr:from>
      <xdr:col>2</xdr:col>
      <xdr:colOff>537881</xdr:colOff>
      <xdr:row>83</xdr:row>
      <xdr:rowOff>1296381</xdr:rowOff>
    </xdr:from>
    <xdr:to>
      <xdr:col>4</xdr:col>
      <xdr:colOff>593911</xdr:colOff>
      <xdr:row>83</xdr:row>
      <xdr:rowOff>2271596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7410" y="23685734"/>
          <a:ext cx="1512795" cy="975215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112059</xdr:colOff>
      <xdr:row>74</xdr:row>
      <xdr:rowOff>909676</xdr:rowOff>
    </xdr:from>
    <xdr:to>
      <xdr:col>2</xdr:col>
      <xdr:colOff>280147</xdr:colOff>
      <xdr:row>74</xdr:row>
      <xdr:rowOff>1971237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059" y="18805470"/>
          <a:ext cx="1557617" cy="1061561"/>
        </a:xfrm>
        <a:prstGeom prst="rect">
          <a:avLst/>
        </a:prstGeom>
      </xdr:spPr>
    </xdr:pic>
    <xdr:clientData/>
  </xdr:twoCellAnchor>
  <xdr:twoCellAnchor editAs="oneCell">
    <xdr:from>
      <xdr:col>2</xdr:col>
      <xdr:colOff>336177</xdr:colOff>
      <xdr:row>74</xdr:row>
      <xdr:rowOff>896471</xdr:rowOff>
    </xdr:from>
    <xdr:to>
      <xdr:col>4</xdr:col>
      <xdr:colOff>571500</xdr:colOff>
      <xdr:row>74</xdr:row>
      <xdr:rowOff>1961030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25706" y="18792265"/>
          <a:ext cx="1692088" cy="1064559"/>
        </a:xfrm>
        <a:prstGeom prst="rect">
          <a:avLst/>
        </a:prstGeom>
      </xdr:spPr>
    </xdr:pic>
    <xdr:clientData/>
  </xdr:twoCellAnchor>
  <xdr:twoCellAnchor>
    <xdr:from>
      <xdr:col>2</xdr:col>
      <xdr:colOff>33617</xdr:colOff>
      <xdr:row>85</xdr:row>
      <xdr:rowOff>44823</xdr:rowOff>
    </xdr:from>
    <xdr:to>
      <xdr:col>2</xdr:col>
      <xdr:colOff>694766</xdr:colOff>
      <xdr:row>85</xdr:row>
      <xdr:rowOff>627529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423146" y="25470970"/>
          <a:ext cx="661149" cy="582706"/>
        </a:xfrm>
        <a:prstGeom prst="ellipse">
          <a:avLst/>
        </a:prstGeom>
        <a:noFill/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22413</xdr:colOff>
      <xdr:row>76</xdr:row>
      <xdr:rowOff>156882</xdr:rowOff>
    </xdr:from>
    <xdr:to>
      <xdr:col>2</xdr:col>
      <xdr:colOff>683562</xdr:colOff>
      <xdr:row>76</xdr:row>
      <xdr:rowOff>739588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11942" y="23431500"/>
          <a:ext cx="661149" cy="582706"/>
        </a:xfrm>
        <a:prstGeom prst="ellipse">
          <a:avLst/>
        </a:prstGeom>
        <a:noFill/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276889</xdr:colOff>
      <xdr:row>103</xdr:row>
      <xdr:rowOff>125506</xdr:rowOff>
    </xdr:from>
    <xdr:to>
      <xdr:col>17</xdr:col>
      <xdr:colOff>221511</xdr:colOff>
      <xdr:row>134</xdr:row>
      <xdr:rowOff>106456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278469</xdr:colOff>
      <xdr:row>169</xdr:row>
      <xdr:rowOff>182657</xdr:rowOff>
    </xdr:from>
    <xdr:to>
      <xdr:col>9</xdr:col>
      <xdr:colOff>243662</xdr:colOff>
      <xdr:row>201</xdr:row>
      <xdr:rowOff>49306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281828</xdr:colOff>
      <xdr:row>202</xdr:row>
      <xdr:rowOff>180976</xdr:rowOff>
    </xdr:from>
    <xdr:to>
      <xdr:col>17</xdr:col>
      <xdr:colOff>221512</xdr:colOff>
      <xdr:row>233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280147</xdr:colOff>
      <xdr:row>235</xdr:row>
      <xdr:rowOff>142875</xdr:rowOff>
    </xdr:from>
    <xdr:to>
      <xdr:col>17</xdr:col>
      <xdr:colOff>221512</xdr:colOff>
      <xdr:row>266</xdr:row>
      <xdr:rowOff>114299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279625</xdr:colOff>
      <xdr:row>5</xdr:row>
      <xdr:rowOff>16691</xdr:rowOff>
    </xdr:from>
    <xdr:to>
      <xdr:col>17</xdr:col>
      <xdr:colOff>212391</xdr:colOff>
      <xdr:row>35</xdr:row>
      <xdr:rowOff>179033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276890</xdr:colOff>
      <xdr:row>37</xdr:row>
      <xdr:rowOff>179294</xdr:rowOff>
    </xdr:from>
    <xdr:to>
      <xdr:col>17</xdr:col>
      <xdr:colOff>221511</xdr:colOff>
      <xdr:row>68</xdr:row>
      <xdr:rowOff>179294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276890</xdr:colOff>
      <xdr:row>70</xdr:row>
      <xdr:rowOff>167567</xdr:rowOff>
    </xdr:from>
    <xdr:to>
      <xdr:col>17</xdr:col>
      <xdr:colOff>243663</xdr:colOff>
      <xdr:row>102</xdr:row>
      <xdr:rowOff>55377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392204</xdr:colOff>
      <xdr:row>4</xdr:row>
      <xdr:rowOff>202406</xdr:rowOff>
    </xdr:from>
    <xdr:to>
      <xdr:col>5</xdr:col>
      <xdr:colOff>464343</xdr:colOff>
      <xdr:row>4</xdr:row>
      <xdr:rowOff>1476375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92204" y="202406"/>
          <a:ext cx="4048273" cy="1273969"/>
        </a:xfrm>
        <a:prstGeom prst="wedgeEllipseCallout">
          <a:avLst>
            <a:gd name="adj1" fmla="val -30000"/>
            <a:gd name="adj2" fmla="val 72442"/>
          </a:avLst>
        </a:prstGeom>
        <a:solidFill>
          <a:srgbClr val="C6EFCE"/>
        </a:solidFill>
        <a:ln>
          <a:solidFill>
            <a:srgbClr val="C6EFC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accent6">
                  <a:lumMod val="75000"/>
                </a:schemeClr>
              </a:solidFill>
            </a:rPr>
            <a:t>Click these</a:t>
          </a:r>
          <a:r>
            <a:rPr lang="en-US" sz="1200" baseline="0">
              <a:solidFill>
                <a:schemeClr val="accent6">
                  <a:lumMod val="75000"/>
                </a:schemeClr>
              </a:solidFill>
            </a:rPr>
            <a:t> cells and use the dropdown arrow beside it to choose a </a:t>
          </a:r>
          <a:r>
            <a:rPr lang="en-US" sz="1200" b="1" baseline="0">
              <a:solidFill>
                <a:schemeClr val="accent6">
                  <a:lumMod val="75000"/>
                </a:schemeClr>
              </a:solidFill>
            </a:rPr>
            <a:t>backpressure</a:t>
          </a:r>
          <a:r>
            <a:rPr lang="en-US" sz="1200" b="0" baseline="0">
              <a:solidFill>
                <a:schemeClr val="accent6">
                  <a:lumMod val="75000"/>
                </a:schemeClr>
              </a:solidFill>
            </a:rPr>
            <a:t>. Flow* charts to the right of the cell will be generated based on this backpressure.</a:t>
          </a:r>
          <a:endParaRPr lang="en-US" sz="12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276889</xdr:colOff>
      <xdr:row>136</xdr:row>
      <xdr:rowOff>142875</xdr:rowOff>
    </xdr:from>
    <xdr:to>
      <xdr:col>17</xdr:col>
      <xdr:colOff>232588</xdr:colOff>
      <xdr:row>167</xdr:row>
      <xdr:rowOff>114299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531627</xdr:colOff>
      <xdr:row>14</xdr:row>
      <xdr:rowOff>132908</xdr:rowOff>
    </xdr:from>
    <xdr:to>
      <xdr:col>14</xdr:col>
      <xdr:colOff>343343</xdr:colOff>
      <xdr:row>18</xdr:row>
      <xdr:rowOff>99957</xdr:rowOff>
    </xdr:to>
    <xdr:sp macro="" textlink="">
      <xdr:nvSpPr>
        <xdr:cNvPr id="16" name="Oval Callout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8771860" y="4186571"/>
          <a:ext cx="1030030" cy="720188"/>
        </a:xfrm>
        <a:prstGeom prst="wedgeEllipseCallout">
          <a:avLst>
            <a:gd name="adj1" fmla="val -55174"/>
            <a:gd name="adj2" fmla="val 65201"/>
          </a:avLst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i="1">
              <a:solidFill>
                <a:schemeClr val="accent1">
                  <a:lumMod val="75000"/>
                </a:schemeClr>
              </a:solidFill>
            </a:rPr>
            <a:t>Optional</a:t>
          </a:r>
          <a:r>
            <a:rPr lang="en-US" sz="1200">
              <a:solidFill>
                <a:schemeClr val="accent1">
                  <a:lumMod val="75000"/>
                </a:schemeClr>
              </a:solidFill>
            </a:rPr>
            <a:t> Ranges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0.14485</cdr:x>
      <cdr:y>0.29542</cdr:y>
    </cdr:from>
    <cdr:to>
      <cdr:x>0.25946</cdr:x>
      <cdr:y>0.39018</cdr:y>
    </cdr:to>
    <cdr:sp macro="" textlink="">
      <cdr:nvSpPr>
        <cdr:cNvPr id="2" name="Oval Callout 1">
          <a:extLst xmlns:a="http://schemas.openxmlformats.org/drawingml/2006/main">
            <a:ext uri="{FF2B5EF4-FFF2-40B4-BE49-F238E27FC236}">
              <a16:creationId xmlns:a16="http://schemas.microsoft.com/office/drawing/2014/main" id="{7EFAC389-3A7B-4D61-9D75-B0ED21F0AD82}"/>
            </a:ext>
          </a:extLst>
        </cdr:cNvPr>
        <cdr:cNvSpPr/>
      </cdr:nvSpPr>
      <cdr:spPr>
        <a:xfrm xmlns:a="http://schemas.openxmlformats.org/drawingml/2006/main">
          <a:off x="1402022" y="1723215"/>
          <a:ext cx="1109400" cy="552740"/>
        </a:xfrm>
        <a:prstGeom xmlns:a="http://schemas.openxmlformats.org/drawingml/2006/main" prst="wedgeEllipseCallout">
          <a:avLst>
            <a:gd name="adj1" fmla="val -43620"/>
            <a:gd name="adj2" fmla="val -88031"/>
          </a:avLst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>
          <a:solidFill>
            <a:schemeClr val="accent2">
              <a:lumMod val="60000"/>
              <a:lumOff val="4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1">
              <a:solidFill>
                <a:schemeClr val="accent2">
                  <a:lumMod val="75000"/>
                </a:schemeClr>
              </a:solidFill>
            </a:rPr>
            <a:t>Standard</a:t>
          </a:r>
          <a:r>
            <a:rPr lang="en-US" sz="1200">
              <a:solidFill>
                <a:schemeClr val="accent2">
                  <a:lumMod val="75000"/>
                </a:schemeClr>
              </a:solidFill>
            </a:rPr>
            <a:t> Ranges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268"/>
  <sheetViews>
    <sheetView showGridLines="0" showRowColHeaders="0" topLeftCell="A85" zoomScale="85" zoomScaleNormal="85" workbookViewId="0">
      <selection activeCell="E11" sqref="E11"/>
    </sheetView>
  </sheetViews>
  <sheetFormatPr defaultColWidth="9.140625" defaultRowHeight="15" x14ac:dyDescent="0.25"/>
  <cols>
    <col min="1" max="1" width="11.7109375" style="259" customWidth="1"/>
    <col min="2" max="2" width="9.140625" style="259"/>
    <col min="3" max="4" width="10.85546875" style="259" customWidth="1"/>
    <col min="5" max="5" width="11.42578125" style="259" customWidth="1"/>
    <col min="6" max="6" width="11.7109375" style="259" hidden="1" customWidth="1"/>
    <col min="7" max="7" width="11.7109375" style="259" customWidth="1"/>
    <col min="8" max="8" width="9.5703125" style="259" customWidth="1"/>
    <col min="9" max="9" width="7.85546875" style="259" bestFit="1" customWidth="1"/>
    <col min="10" max="10" width="9.5703125" style="259" customWidth="1"/>
    <col min="11" max="13" width="9.42578125" style="259" customWidth="1"/>
    <col min="14" max="14" width="10.28515625" style="259" customWidth="1"/>
    <col min="15" max="15" width="9.28515625" style="259" customWidth="1"/>
    <col min="16" max="16" width="9.140625" style="259"/>
    <col min="17" max="17" width="9.42578125" style="259" customWidth="1"/>
    <col min="18" max="19" width="9.140625" style="259"/>
    <col min="20" max="20" width="9.7109375" style="259" customWidth="1"/>
    <col min="21" max="22" width="9.140625" style="259"/>
    <col min="23" max="23" width="9.7109375" style="259" customWidth="1"/>
    <col min="24" max="24" width="9.140625" style="259" customWidth="1"/>
    <col min="25" max="25" width="9.7109375" style="259" customWidth="1"/>
    <col min="26" max="26" width="10.140625" style="259" customWidth="1"/>
    <col min="27" max="28" width="9.140625" style="259"/>
    <col min="29" max="29" width="9.140625" style="775" customWidth="1"/>
    <col min="30" max="32" width="9.140625" style="775"/>
    <col min="33" max="35" width="9.140625" style="775" customWidth="1"/>
    <col min="36" max="48" width="9.140625" style="775"/>
    <col min="49" max="16384" width="9.140625" style="259"/>
  </cols>
  <sheetData>
    <row r="1" spans="1:30" x14ac:dyDescent="0.25">
      <c r="C1" s="852" t="s">
        <v>126</v>
      </c>
      <c r="D1" s="853"/>
      <c r="E1" s="853"/>
      <c r="F1" s="853"/>
      <c r="G1" s="853"/>
      <c r="H1" s="853"/>
      <c r="I1" s="853"/>
      <c r="J1" s="853"/>
      <c r="K1" s="854"/>
      <c r="L1" s="854"/>
      <c r="M1" s="854"/>
      <c r="N1" s="854"/>
      <c r="O1" s="854"/>
      <c r="P1" s="854"/>
      <c r="Q1" s="854"/>
    </row>
    <row r="2" spans="1:30" x14ac:dyDescent="0.25">
      <c r="C2" s="863" t="s">
        <v>128</v>
      </c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</row>
    <row r="3" spans="1:30" x14ac:dyDescent="0.25">
      <c r="C3" s="261" t="s">
        <v>127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1:30" ht="15" customHeight="1" x14ac:dyDescent="0.25">
      <c r="C4" s="264" t="s">
        <v>68</v>
      </c>
      <c r="D4" s="264"/>
      <c r="E4" s="264"/>
      <c r="F4" s="264"/>
      <c r="G4" s="264"/>
      <c r="H4" s="264"/>
      <c r="I4" s="265"/>
      <c r="J4" s="264"/>
      <c r="K4" s="264"/>
      <c r="L4" s="264"/>
      <c r="M4" s="264"/>
      <c r="N4" s="264"/>
      <c r="O4" s="264"/>
      <c r="P4" s="264"/>
      <c r="Q4" s="264"/>
    </row>
    <row r="5" spans="1:30" ht="21.75" customHeight="1" x14ac:dyDescent="0.25">
      <c r="A5"/>
      <c r="B5"/>
      <c r="C5" s="856" t="s">
        <v>129</v>
      </c>
      <c r="D5" s="896" t="s">
        <v>84</v>
      </c>
      <c r="E5" s="896"/>
      <c r="F5" s="851"/>
      <c r="G5" s="851"/>
      <c r="H5" s="896" t="s">
        <v>87</v>
      </c>
      <c r="I5" s="896"/>
    </row>
    <row r="6" spans="1:30" ht="21" customHeight="1" x14ac:dyDescent="0.25">
      <c r="A6"/>
      <c r="B6"/>
      <c r="C6" s="857" t="s">
        <v>15</v>
      </c>
      <c r="D6" s="902">
        <v>42339</v>
      </c>
      <c r="E6" s="902"/>
      <c r="F6" s="858"/>
      <c r="G6" s="858"/>
      <c r="H6" s="901" t="s">
        <v>102</v>
      </c>
      <c r="I6" s="901"/>
      <c r="J6" s="668" t="s">
        <v>90</v>
      </c>
      <c r="K6" s="661"/>
      <c r="L6" s="661"/>
      <c r="M6" s="661"/>
      <c r="N6" s="661"/>
      <c r="O6" s="661"/>
      <c r="P6" s="337"/>
      <c r="Q6" s="337"/>
      <c r="R6" s="337"/>
      <c r="S6" s="337"/>
      <c r="T6" s="337"/>
      <c r="U6" s="337"/>
      <c r="V6" s="337"/>
    </row>
    <row r="7" spans="1:30" ht="18.75" customHeight="1" x14ac:dyDescent="0.25">
      <c r="C7" s="859" t="s">
        <v>56</v>
      </c>
      <c r="D7" s="897">
        <v>42178</v>
      </c>
      <c r="E7" s="897"/>
      <c r="F7" s="860"/>
      <c r="G7" s="860"/>
      <c r="H7" s="887" t="s">
        <v>89</v>
      </c>
      <c r="I7" s="887"/>
      <c r="N7" s="861"/>
      <c r="O7" s="861"/>
    </row>
    <row r="8" spans="1:30" x14ac:dyDescent="0.25">
      <c r="C8" s="859" t="s">
        <v>55</v>
      </c>
      <c r="D8" s="898">
        <v>41952</v>
      </c>
      <c r="E8" s="898"/>
      <c r="F8" s="860"/>
      <c r="G8" s="867"/>
      <c r="H8" s="888" t="s">
        <v>118</v>
      </c>
      <c r="I8" s="889"/>
      <c r="N8" s="861"/>
      <c r="O8" s="861"/>
    </row>
    <row r="10" spans="1:30" hidden="1" x14ac:dyDescent="0.25">
      <c r="C10" s="259" t="s">
        <v>81</v>
      </c>
      <c r="E10" s="874" t="s">
        <v>92</v>
      </c>
    </row>
    <row r="11" spans="1:30" x14ac:dyDescent="0.25">
      <c r="C11" s="633" t="s">
        <v>136</v>
      </c>
      <c r="E11" s="875" t="s">
        <v>137</v>
      </c>
    </row>
    <row r="12" spans="1:30" x14ac:dyDescent="0.25">
      <c r="D12" s="266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</row>
    <row r="13" spans="1:30" ht="102.75" customHeight="1" thickBot="1" x14ac:dyDescent="0.3">
      <c r="C13" s="266"/>
      <c r="D13" s="266"/>
      <c r="E13" s="263"/>
      <c r="F13" s="263"/>
      <c r="G13" s="903" t="s">
        <v>135</v>
      </c>
      <c r="H13" s="903"/>
      <c r="I13" s="903"/>
      <c r="J13" s="903"/>
      <c r="K13" s="903"/>
      <c r="L13" s="903"/>
      <c r="M13" s="903"/>
      <c r="N13" s="903"/>
      <c r="O13" s="263"/>
      <c r="P13" s="263"/>
      <c r="AB13" s="775"/>
    </row>
    <row r="14" spans="1:30" ht="38.25" customHeight="1" thickBot="1" x14ac:dyDescent="0.3">
      <c r="C14" s="899" t="s">
        <v>28</v>
      </c>
      <c r="D14" s="900"/>
      <c r="E14" s="267" t="s">
        <v>103</v>
      </c>
      <c r="G14" s="904"/>
      <c r="H14" s="904"/>
      <c r="I14" s="904"/>
      <c r="J14" s="904"/>
      <c r="K14" s="904"/>
      <c r="L14" s="904"/>
      <c r="M14" s="904"/>
      <c r="N14" s="904"/>
      <c r="O14" s="895" t="s">
        <v>74</v>
      </c>
      <c r="P14" s="895"/>
      <c r="Q14" s="895"/>
      <c r="R14" s="906" t="s">
        <v>77</v>
      </c>
      <c r="S14" s="906"/>
      <c r="T14" s="906"/>
      <c r="U14" s="895" t="s">
        <v>75</v>
      </c>
      <c r="V14" s="895"/>
      <c r="W14" s="895"/>
      <c r="X14" s="906" t="s">
        <v>76</v>
      </c>
      <c r="Y14" s="906"/>
      <c r="Z14" s="906"/>
      <c r="AA14" s="268" t="s">
        <v>70</v>
      </c>
      <c r="AB14" s="775"/>
      <c r="AD14" s="776"/>
    </row>
    <row r="15" spans="1:30" ht="48.75" customHeight="1" thickBot="1" x14ac:dyDescent="0.35">
      <c r="A15" s="270" t="s">
        <v>7</v>
      </c>
      <c r="B15" s="270" t="s">
        <v>8</v>
      </c>
      <c r="C15" s="271" t="s">
        <v>33</v>
      </c>
      <c r="D15" s="272" t="s">
        <v>30</v>
      </c>
      <c r="E15" s="273" t="s">
        <v>39</v>
      </c>
      <c r="F15" s="274" t="s">
        <v>27</v>
      </c>
      <c r="G15" s="275" t="str">
        <f>IF($E$11="m3/h","m3/h displayed on DM32",IF($E$11="m3/s","m3/s displayed on DM32",IF($E$11="L/s","L/s displayed on DM32","Metric displayed on DM32")))</f>
        <v>m3/h displayed on DM32</v>
      </c>
      <c r="H15" s="275" t="s">
        <v>26</v>
      </c>
      <c r="I15" s="276" t="s">
        <v>1</v>
      </c>
      <c r="J15" s="277" t="s">
        <v>0</v>
      </c>
      <c r="K15" s="277" t="s">
        <v>2</v>
      </c>
      <c r="L15" s="277" t="s">
        <v>5</v>
      </c>
      <c r="M15" s="277" t="s">
        <v>3</v>
      </c>
      <c r="N15" s="278" t="s">
        <v>6</v>
      </c>
      <c r="O15" s="279">
        <v>0</v>
      </c>
      <c r="P15" s="280">
        <v>25</v>
      </c>
      <c r="Q15" s="280">
        <v>50</v>
      </c>
      <c r="R15" s="281">
        <v>0</v>
      </c>
      <c r="S15" s="281">
        <v>50</v>
      </c>
      <c r="T15" s="282"/>
      <c r="U15" s="283">
        <v>0</v>
      </c>
      <c r="V15" s="283">
        <v>25</v>
      </c>
      <c r="W15" s="283">
        <v>50</v>
      </c>
      <c r="X15" s="284">
        <v>0</v>
      </c>
      <c r="Y15" s="284">
        <v>50</v>
      </c>
      <c r="Z15" s="282"/>
      <c r="AB15" s="775"/>
    </row>
    <row r="16" spans="1:30" ht="15.75" customHeight="1" x14ac:dyDescent="0.25">
      <c r="A16" s="892">
        <v>240</v>
      </c>
      <c r="B16" s="285" t="s">
        <v>4</v>
      </c>
      <c r="C16" s="246">
        <v>25</v>
      </c>
      <c r="D16" s="247">
        <v>300</v>
      </c>
      <c r="E16" s="286">
        <f>IF(OR(C16="",D16="", D16&lt;0),"---",        IF(AND(D16&gt;=N16,D16&gt;=ABS(C16)*L16),D16,"---"))</f>
        <v>300</v>
      </c>
      <c r="F16" s="287" t="e">
        <f>IF(OR(#REF!="", E16=""),"",(E16-#REF!*K16)^I16*(J16+E16*M16))</f>
        <v>#REF!</v>
      </c>
      <c r="G16" s="375">
        <f>IF($E$11="m3/h",IF(H16="---","---",(H16*(1/0.58857777866))),IF($E$11="m3/s",IF(H16="---","---",FIXED((H16*0.0004719474432),5,FALSE)),IF($E$11="L/s",IF(H16="---","---",(H16*0.47194745)),"---")))</f>
        <v>967.10936567185036</v>
      </c>
      <c r="H16" s="288">
        <f>IF(E16="---","---", (E16-ABS(C16)*K16)^I16*(J16+E16*M16))</f>
        <v>569.21908216841939</v>
      </c>
      <c r="I16" s="289">
        <v>0.51149999999999995</v>
      </c>
      <c r="J16" s="290">
        <v>30.7774</v>
      </c>
      <c r="K16" s="290">
        <v>0</v>
      </c>
      <c r="L16" s="290">
        <v>0.2</v>
      </c>
      <c r="M16" s="662">
        <v>0</v>
      </c>
      <c r="N16" s="664">
        <v>10</v>
      </c>
      <c r="O16" s="291">
        <f>IF($L16*O$15&gt;$N16, $L16*O$15, $N16)</f>
        <v>10</v>
      </c>
      <c r="P16" s="292">
        <f>IF($L16*P$15&gt;$N16, $L16*P$15, $N16)</f>
        <v>10</v>
      </c>
      <c r="Q16" s="292">
        <f>IF($L16*Q$15&gt;$N16, $L16*Q$15, $N16)</f>
        <v>10</v>
      </c>
      <c r="R16" s="293"/>
      <c r="S16" s="293"/>
      <c r="T16" s="293"/>
      <c r="U16" s="294">
        <f>(O$16-ABS(U$15)*$K16)^$I16*($J16+O$16*$M16)</f>
        <v>99.938293394953206</v>
      </c>
      <c r="V16" s="294">
        <f>(P$16-ABS(V$15)*$K16)^$I16*($J16+P$16*$M16)</f>
        <v>99.938293394953206</v>
      </c>
      <c r="W16" s="294">
        <f>(Q$16-ABS(W$15)*$K16)^$I16*($J16+Q$16*$M16)</f>
        <v>99.938293394953206</v>
      </c>
      <c r="X16" s="295"/>
      <c r="Y16" s="295"/>
      <c r="Z16" s="295"/>
      <c r="AB16" s="775"/>
    </row>
    <row r="17" spans="1:38" ht="15.75" customHeight="1" x14ac:dyDescent="0.25">
      <c r="A17" s="893"/>
      <c r="B17" s="296" t="s">
        <v>51</v>
      </c>
      <c r="C17" s="248">
        <v>25</v>
      </c>
      <c r="D17" s="248">
        <v>300</v>
      </c>
      <c r="E17" s="297">
        <f>IF(OR(C17="",D17="", D17&lt;0),"---",        IF(AND(D17&gt;=N17,D17&gt;=ABS(C17)*L17),D17,"---"))</f>
        <v>300</v>
      </c>
      <c r="F17" s="298" t="e">
        <f>IF(OR(#REF!="", E17=""),"",(E17-#REF!*K17)^I17*(J17+E17*M17))</f>
        <v>#REF!</v>
      </c>
      <c r="G17" s="464">
        <f t="shared" ref="G17:G27" si="0">IF($E$11="m3/h",IF(H17="---","---",(H17*(1/0.58857777866))),IF($E$11="m3/s",IF(H17="---","---",FIXED((H17*0.0004719474432),5,FALSE)),IF($E$11="L/s",IF(H17="---","---",(H17*0.47194745)),"---")))</f>
        <v>220.537616620146</v>
      </c>
      <c r="H17" s="876">
        <f>IF(E17="---","---", (E17-ABS(C17)*K17)^I17*(J17+E17*M17))</f>
        <v>129.80354050125624</v>
      </c>
      <c r="I17" s="300">
        <v>0.54149999999999998</v>
      </c>
      <c r="J17" s="301">
        <v>5.9146000000000001</v>
      </c>
      <c r="K17" s="301">
        <v>0</v>
      </c>
      <c r="L17" s="301">
        <v>0.5</v>
      </c>
      <c r="M17" s="428">
        <v>0</v>
      </c>
      <c r="N17" s="665">
        <v>25</v>
      </c>
      <c r="O17" s="291">
        <f t="shared" ref="O17:Q18" si="1">IF($L17*O$15&gt;$N17, $L17*O$15, $N17)</f>
        <v>25</v>
      </c>
      <c r="P17" s="292">
        <f t="shared" si="1"/>
        <v>25</v>
      </c>
      <c r="Q17" s="302">
        <f t="shared" si="1"/>
        <v>25</v>
      </c>
      <c r="R17" s="303"/>
      <c r="S17" s="303"/>
      <c r="T17" s="304"/>
      <c r="U17" s="305">
        <f>(O$17-ABS(U$15)*$K17)^$I17*($J17+O$17*$M17)</f>
        <v>33.79947026141047</v>
      </c>
      <c r="V17" s="305">
        <f>(P$17-ABS(V$15)*$K17)^$I17*($J17+P$17*$M17)</f>
        <v>33.79947026141047</v>
      </c>
      <c r="W17" s="306">
        <f>(Q$17-ABS(W$15)*$K17)^$I17*($J17+Q$17*$M17)</f>
        <v>33.79947026141047</v>
      </c>
      <c r="X17" s="307"/>
      <c r="Y17" s="307"/>
      <c r="Z17" s="307"/>
      <c r="AB17" s="775"/>
    </row>
    <row r="18" spans="1:38" ht="15.75" customHeight="1" thickBot="1" x14ac:dyDescent="0.3">
      <c r="A18" s="894"/>
      <c r="B18" s="308" t="s">
        <v>52</v>
      </c>
      <c r="C18" s="249">
        <v>25</v>
      </c>
      <c r="D18" s="249">
        <v>300</v>
      </c>
      <c r="E18" s="309">
        <f>IF(OR(C18="",D18="", D18&lt;0),"---",        IF(AND(D18&gt;=N18,D18&gt;=ABS(C18)*L18),D18,"---"))</f>
        <v>300</v>
      </c>
      <c r="F18" s="310" t="e">
        <f>IF(OR(#REF!="", E18=""),"",(E18-#REF!*K18)^I18*(J18+E18*M18))</f>
        <v>#REF!</v>
      </c>
      <c r="G18" s="503">
        <f t="shared" si="0"/>
        <v>52.926338478172539</v>
      </c>
      <c r="H18" s="311">
        <f>IF(E18="---","---", (E18-ABS(C18)*K18)^I18*(J18+E18*M18))</f>
        <v>31.151266734090079</v>
      </c>
      <c r="I18" s="312">
        <v>0.61250000000000004</v>
      </c>
      <c r="J18" s="313">
        <v>1.0056</v>
      </c>
      <c r="K18" s="313">
        <v>-2.4E-2</v>
      </c>
      <c r="L18" s="313">
        <v>0.5</v>
      </c>
      <c r="M18" s="576">
        <v>-2.0000000000000001E-4</v>
      </c>
      <c r="N18" s="666">
        <v>25</v>
      </c>
      <c r="O18" s="314">
        <f t="shared" si="1"/>
        <v>25</v>
      </c>
      <c r="P18" s="315">
        <f t="shared" si="1"/>
        <v>25</v>
      </c>
      <c r="Q18" s="316">
        <f t="shared" si="1"/>
        <v>25</v>
      </c>
      <c r="R18" s="317"/>
      <c r="S18" s="317"/>
      <c r="T18" s="318"/>
      <c r="U18" s="319">
        <f>(O$18-ABS(U$15)*$K18)^$I18*($J18+O$18*$M18)</f>
        <v>7.1861909641091444</v>
      </c>
      <c r="V18" s="319">
        <f>(P$18-ABS(V$15)*$K18)^$I18*($J18+P$18*$M18)</f>
        <v>7.2913421347940437</v>
      </c>
      <c r="W18" s="320">
        <f>(Q$18-ABS(W$15)*$K18)^$I18*($J18+Q$18*$M18)</f>
        <v>7.3955425393156684</v>
      </c>
      <c r="X18" s="321"/>
      <c r="Y18" s="321"/>
      <c r="Z18" s="321"/>
      <c r="AB18" s="775"/>
    </row>
    <row r="19" spans="1:38" ht="31.5" customHeight="1" thickBot="1" x14ac:dyDescent="0.3">
      <c r="C19" s="322"/>
      <c r="D19" s="269"/>
      <c r="E19" s="323"/>
      <c r="F19" s="324"/>
      <c r="G19" s="877"/>
      <c r="H19" s="325"/>
      <c r="I19" s="326"/>
      <c r="J19" s="327"/>
      <c r="K19" s="327"/>
      <c r="L19" s="327"/>
      <c r="M19" s="327"/>
      <c r="N19" s="328"/>
      <c r="O19" s="329"/>
      <c r="P19" s="330"/>
      <c r="Q19" s="331"/>
      <c r="R19" s="766"/>
      <c r="S19" s="768"/>
      <c r="T19" s="762" t="s">
        <v>106</v>
      </c>
      <c r="U19" s="332"/>
      <c r="V19" s="334"/>
      <c r="W19" s="334"/>
      <c r="X19" s="353"/>
      <c r="Y19" s="769"/>
      <c r="Z19" s="762" t="s">
        <v>106</v>
      </c>
      <c r="AA19" s="337"/>
      <c r="AB19" s="775"/>
      <c r="AE19" s="638"/>
      <c r="AF19" s="638"/>
      <c r="AG19" s="636" t="s">
        <v>82</v>
      </c>
      <c r="AH19" s="636" t="s">
        <v>83</v>
      </c>
      <c r="AI19" s="636" t="s">
        <v>80</v>
      </c>
      <c r="AJ19" s="638"/>
      <c r="AK19" s="638" t="s">
        <v>107</v>
      </c>
      <c r="AL19" s="638"/>
    </row>
    <row r="20" spans="1:38" ht="15.75" customHeight="1" x14ac:dyDescent="0.25">
      <c r="A20" s="892">
        <v>300</v>
      </c>
      <c r="B20" s="285" t="s">
        <v>4</v>
      </c>
      <c r="C20" s="246">
        <v>25</v>
      </c>
      <c r="D20" s="247">
        <v>9</v>
      </c>
      <c r="E20" s="286" t="str">
        <f>IF(OR(C20="",D20="", D20&lt;0),"---",        IF(AND(D20&gt;=N20,D20&gt;=ABS(C20)*L20),D20,"---"))</f>
        <v>---</v>
      </c>
      <c r="F20" s="338" t="e">
        <f>IF(OR(#REF!="", E20=""),"",(E20-#REF!*K20)^I20*(J20+E20*M20))</f>
        <v>#REF!</v>
      </c>
      <c r="G20" s="373" t="str">
        <f t="shared" si="0"/>
        <v>---</v>
      </c>
      <c r="H20" s="339" t="str">
        <f>IF(E20="---","---", (E20-ABS(C20)*K20)^I20*(J20+E20*M20))</f>
        <v>---</v>
      </c>
      <c r="I20" s="340">
        <v>0.501</v>
      </c>
      <c r="J20" s="341">
        <v>28.91</v>
      </c>
      <c r="K20" s="341">
        <v>0</v>
      </c>
      <c r="L20" s="341">
        <v>0.4</v>
      </c>
      <c r="M20" s="565">
        <v>0</v>
      </c>
      <c r="N20" s="342">
        <v>20</v>
      </c>
      <c r="O20" s="291">
        <f>IF($L20*O$15&gt;$N20, $L20*O$15, $N20)</f>
        <v>20</v>
      </c>
      <c r="P20" s="292">
        <f>IF($L20*P$15&gt;$N20, $L20*P$15, $N20)</f>
        <v>20</v>
      </c>
      <c r="Q20" s="292">
        <f>IF($L20*Q$15&gt;$N20, $L20*Q$15, $N20)</f>
        <v>20</v>
      </c>
      <c r="R20" s="402">
        <v>788.5</v>
      </c>
      <c r="S20" s="295">
        <v>683</v>
      </c>
      <c r="T20" s="295">
        <v>605</v>
      </c>
      <c r="U20" s="343">
        <f t="shared" ref="U20:Z20" si="2">O20^$I20*$J20</f>
        <v>129.67734776655371</v>
      </c>
      <c r="V20" s="343">
        <f t="shared" si="2"/>
        <v>129.67734776655371</v>
      </c>
      <c r="W20" s="343">
        <f>Q20^$I20*$J20</f>
        <v>129.67734776655371</v>
      </c>
      <c r="X20" s="344">
        <f t="shared" si="2"/>
        <v>817.23271210241182</v>
      </c>
      <c r="Y20" s="344">
        <f t="shared" si="2"/>
        <v>760.48887318602885</v>
      </c>
      <c r="Z20" s="344">
        <f t="shared" si="2"/>
        <v>715.66130225772235</v>
      </c>
      <c r="AB20" s="775"/>
      <c r="AC20" s="777"/>
      <c r="AE20" s="638"/>
      <c r="AF20" s="638"/>
      <c r="AG20" s="640">
        <f>IF('Flow charts'!$A$7=$O$15,X20, IF('Flow charts'!$A$7=$Q$15,Y20,"NO DATA"))</f>
        <v>760.48887318602885</v>
      </c>
      <c r="AH20" s="640">
        <f>IF('Flow charts'!$A$7=$O$15,U20,  IF('Flow charts'!$A$7=$Q$15,W20,"NO DATA"))</f>
        <v>129.67734776655371</v>
      </c>
      <c r="AI20" s="640">
        <f>AG20-AH20</f>
        <v>630.81152541947517</v>
      </c>
      <c r="AJ20" s="638"/>
      <c r="AK20" s="784">
        <f>O15</f>
        <v>0</v>
      </c>
      <c r="AL20" s="638"/>
    </row>
    <row r="21" spans="1:38" ht="15" customHeight="1" x14ac:dyDescent="0.25">
      <c r="A21" s="893"/>
      <c r="B21" s="296">
        <v>102</v>
      </c>
      <c r="C21" s="248">
        <v>25</v>
      </c>
      <c r="D21" s="248">
        <v>100</v>
      </c>
      <c r="E21" s="323">
        <f t="shared" ref="E21:E27" si="3">IF(OR(C21="",D21="", D21&lt;0),"---",        IF(AND(D21&gt;=N21,D21&gt;=ABS(C21)*L21),D21,"---"))</f>
        <v>100</v>
      </c>
      <c r="F21" s="298" t="e">
        <f>IF(OR(#REF!="", E21=""),"",(E21-#REF!*K21)^I21*(J21+E21*M21))</f>
        <v>#REF!</v>
      </c>
      <c r="G21" s="375">
        <f t="shared" si="0"/>
        <v>275.15658839751671</v>
      </c>
      <c r="H21" s="346">
        <f t="shared" ref="H21:H27" si="4">IF(E21="---","---", (E21-ABS(C21)*K21)^I21*(J21+E21*M21))</f>
        <v>161.95105358267432</v>
      </c>
      <c r="I21" s="347">
        <v>0.59</v>
      </c>
      <c r="J21" s="348">
        <v>10.7</v>
      </c>
      <c r="K21" s="349">
        <v>0</v>
      </c>
      <c r="L21" s="349">
        <v>0.4</v>
      </c>
      <c r="M21" s="569">
        <v>0</v>
      </c>
      <c r="N21" s="350">
        <v>100</v>
      </c>
      <c r="O21" s="336">
        <f t="shared" ref="O21:Q27" si="5">IF($L21*O$15&gt;$N21, $L21*O$15, $N21)</f>
        <v>100</v>
      </c>
      <c r="P21" s="351">
        <f t="shared" si="5"/>
        <v>100</v>
      </c>
      <c r="Q21" s="335">
        <f t="shared" si="5"/>
        <v>100</v>
      </c>
      <c r="R21" s="352">
        <v>760</v>
      </c>
      <c r="S21" s="352">
        <v>740</v>
      </c>
      <c r="T21" s="353"/>
      <c r="U21" s="354">
        <f t="shared" ref="U21:U45" si="6">O21^$I21*$J21</f>
        <v>161.95105358267432</v>
      </c>
      <c r="V21" s="354">
        <f t="shared" ref="V21:V45" si="7">P21^$I21*$J21</f>
        <v>161.95105358267432</v>
      </c>
      <c r="W21" s="355">
        <f t="shared" ref="W21:W45" si="8">Q21^$I21*$J21</f>
        <v>161.95105358267432</v>
      </c>
      <c r="X21" s="356">
        <f t="shared" ref="X21:X45" si="9">R21^$I21*$J21</f>
        <v>535.87537092484104</v>
      </c>
      <c r="Y21" s="356">
        <f t="shared" ref="Y21:Y27" si="10">S21^$I21*$J21</f>
        <v>527.50975144172617</v>
      </c>
      <c r="Z21" s="356"/>
      <c r="AB21" s="775"/>
      <c r="AC21" s="777"/>
      <c r="AE21" s="638"/>
      <c r="AF21" s="638"/>
      <c r="AG21" s="640">
        <f>IF('Flow charts'!$A$7=$O$15,X21, IF('Flow charts'!$A$7=$Q$15,Y21,"NO DATA"))</f>
        <v>527.50975144172617</v>
      </c>
      <c r="AH21" s="640">
        <f>IF('Flow charts'!$A$7=$O$15,U21,  IF('Flow charts'!$A$7=$Q$15,W21,"NO DATA"))</f>
        <v>161.95105358267432</v>
      </c>
      <c r="AI21" s="640">
        <f t="shared" ref="AI21:AI27" si="11">AG21-AH21</f>
        <v>365.55869785905185</v>
      </c>
      <c r="AJ21" s="638"/>
      <c r="AK21" s="785">
        <f>Q15</f>
        <v>50</v>
      </c>
      <c r="AL21" s="638"/>
    </row>
    <row r="22" spans="1:38" ht="15" customHeight="1" x14ac:dyDescent="0.25">
      <c r="A22" s="893"/>
      <c r="B22" s="357">
        <v>74</v>
      </c>
      <c r="C22" s="250">
        <v>25</v>
      </c>
      <c r="D22" s="251">
        <v>-10</v>
      </c>
      <c r="E22" s="358" t="str">
        <f t="shared" si="3"/>
        <v>---</v>
      </c>
      <c r="F22" s="298" t="e">
        <f>IF(OR(#REF!="", E22=""),"",(E22-#REF!*K22)^I22*(J22+E22*M22))</f>
        <v>#REF!</v>
      </c>
      <c r="G22" s="375" t="str">
        <f t="shared" si="0"/>
        <v>---</v>
      </c>
      <c r="H22" s="346" t="str">
        <f t="shared" si="4"/>
        <v>---</v>
      </c>
      <c r="I22" s="300">
        <v>0.50449999999999995</v>
      </c>
      <c r="J22" s="359">
        <v>7.0773192087114243</v>
      </c>
      <c r="K22" s="301">
        <v>0</v>
      </c>
      <c r="L22" s="301">
        <v>0.25</v>
      </c>
      <c r="M22" s="428">
        <v>0</v>
      </c>
      <c r="N22" s="350">
        <v>15</v>
      </c>
      <c r="O22" s="360">
        <f t="shared" si="5"/>
        <v>15</v>
      </c>
      <c r="P22" s="361">
        <f t="shared" si="5"/>
        <v>15</v>
      </c>
      <c r="Q22" s="362">
        <f t="shared" si="5"/>
        <v>15</v>
      </c>
      <c r="R22" s="363">
        <v>760</v>
      </c>
      <c r="S22" s="363">
        <v>694</v>
      </c>
      <c r="T22" s="364">
        <v>686.5</v>
      </c>
      <c r="U22" s="365">
        <f t="shared" si="6"/>
        <v>27.746411586175977</v>
      </c>
      <c r="V22" s="365">
        <f t="shared" si="7"/>
        <v>27.746411586175977</v>
      </c>
      <c r="W22" s="366">
        <f t="shared" si="8"/>
        <v>27.746411586175977</v>
      </c>
      <c r="X22" s="367">
        <f t="shared" si="9"/>
        <v>201.01998736756497</v>
      </c>
      <c r="Y22" s="367">
        <f t="shared" si="10"/>
        <v>192.01477020896263</v>
      </c>
      <c r="Z22" s="367">
        <f>T22^$I22*$J22</f>
        <v>190.96507038984362</v>
      </c>
      <c r="AA22" s="368">
        <v>1026580</v>
      </c>
      <c r="AB22" s="775"/>
      <c r="AC22" s="777"/>
      <c r="AE22" s="638"/>
      <c r="AF22" s="638"/>
      <c r="AG22" s="640">
        <f>IF('Flow charts'!$A$7=$O$15,X22, IF('Flow charts'!$A$7=$Q$15,Y22,"NO DATA"))</f>
        <v>192.01477020896263</v>
      </c>
      <c r="AH22" s="640">
        <f>IF('Flow charts'!$A$7=$O$15,U22,  IF('Flow charts'!$A$7=$Q$15,W22,"NO DATA"))</f>
        <v>27.746411586175977</v>
      </c>
      <c r="AI22" s="640">
        <f t="shared" si="11"/>
        <v>164.26835862278665</v>
      </c>
      <c r="AJ22" s="638"/>
      <c r="AK22" s="638"/>
      <c r="AL22" s="638"/>
    </row>
    <row r="23" spans="1:38" ht="15" customHeight="1" x14ac:dyDescent="0.25">
      <c r="A23" s="893"/>
      <c r="B23" s="357">
        <v>47</v>
      </c>
      <c r="C23" s="250">
        <v>25</v>
      </c>
      <c r="D23" s="250">
        <v>100</v>
      </c>
      <c r="E23" s="323">
        <f t="shared" si="3"/>
        <v>100</v>
      </c>
      <c r="F23" s="298" t="e">
        <f>IF(OR(#REF!="", E23=""),"",(E23-#REF!*K23)^I23*(J23+E23*M23))</f>
        <v>#REF!</v>
      </c>
      <c r="G23" s="375">
        <f t="shared" si="0"/>
        <v>55.063851533881319</v>
      </c>
      <c r="H23" s="346">
        <f t="shared" si="4"/>
        <v>32.409359420275905</v>
      </c>
      <c r="I23" s="369">
        <v>0.5</v>
      </c>
      <c r="J23" s="359">
        <v>3.2409359420275905</v>
      </c>
      <c r="K23" s="301">
        <v>0</v>
      </c>
      <c r="L23" s="301">
        <v>0.1</v>
      </c>
      <c r="M23" s="428">
        <v>0</v>
      </c>
      <c r="N23" s="350">
        <v>10</v>
      </c>
      <c r="O23" s="360">
        <f t="shared" si="5"/>
        <v>10</v>
      </c>
      <c r="P23" s="361">
        <f t="shared" si="5"/>
        <v>10</v>
      </c>
      <c r="Q23" s="362">
        <f t="shared" si="5"/>
        <v>10</v>
      </c>
      <c r="R23" s="363">
        <v>730</v>
      </c>
      <c r="S23" s="363">
        <v>650</v>
      </c>
      <c r="T23" s="364"/>
      <c r="U23" s="365">
        <f t="shared" si="6"/>
        <v>10.248739327510611</v>
      </c>
      <c r="V23" s="365">
        <f>P23^$I23*$J23</f>
        <v>10.248739327510611</v>
      </c>
      <c r="W23" s="366">
        <f t="shared" si="8"/>
        <v>10.248739327510611</v>
      </c>
      <c r="X23" s="367">
        <f t="shared" si="9"/>
        <v>87.565267199033741</v>
      </c>
      <c r="Y23" s="367">
        <f t="shared" si="10"/>
        <v>82.627978053514497</v>
      </c>
      <c r="Z23" s="367"/>
      <c r="AA23" s="270">
        <v>1000962</v>
      </c>
      <c r="AB23" s="775"/>
      <c r="AC23" s="777"/>
      <c r="AE23" s="638"/>
      <c r="AF23" s="638"/>
      <c r="AG23" s="640">
        <f>IF('Flow charts'!$A$7=$O$15,X23, IF('Flow charts'!$A$7=$Q$15,Y23,"NO DATA"))</f>
        <v>82.627978053514497</v>
      </c>
      <c r="AH23" s="640">
        <f>IF('Flow charts'!$A$7=$O$15,U23,  IF('Flow charts'!$A$7=$Q$15,W23,"NO DATA"))</f>
        <v>10.248739327510611</v>
      </c>
      <c r="AI23" s="640">
        <f t="shared" si="11"/>
        <v>72.379238726003891</v>
      </c>
      <c r="AJ23" s="638"/>
      <c r="AK23" s="638"/>
      <c r="AL23" s="638"/>
    </row>
    <row r="24" spans="1:38" ht="15" customHeight="1" x14ac:dyDescent="0.25">
      <c r="A24" s="893"/>
      <c r="B24" s="357">
        <v>29</v>
      </c>
      <c r="C24" s="250">
        <v>25</v>
      </c>
      <c r="D24" s="250">
        <v>150</v>
      </c>
      <c r="E24" s="358">
        <f t="shared" si="3"/>
        <v>150</v>
      </c>
      <c r="F24" s="298" t="e">
        <f>IF(OR(#REF!="", E24=""),"",(E24-#REF!*K24)^I24*(J24+E24*M24))</f>
        <v>#REF!</v>
      </c>
      <c r="G24" s="375">
        <f t="shared" si="0"/>
        <v>25.016820183582347</v>
      </c>
      <c r="H24" s="370">
        <f t="shared" si="4"/>
        <v>14.724344452789552</v>
      </c>
      <c r="I24" s="369">
        <v>0.502</v>
      </c>
      <c r="J24" s="359">
        <v>1.1902499077349771</v>
      </c>
      <c r="K24" s="301">
        <v>0</v>
      </c>
      <c r="L24" s="301">
        <v>0.2</v>
      </c>
      <c r="M24" s="428">
        <v>0</v>
      </c>
      <c r="N24" s="350">
        <v>20</v>
      </c>
      <c r="O24" s="360">
        <f t="shared" si="5"/>
        <v>20</v>
      </c>
      <c r="P24" s="361">
        <f t="shared" si="5"/>
        <v>20</v>
      </c>
      <c r="Q24" s="362">
        <f t="shared" si="5"/>
        <v>20</v>
      </c>
      <c r="R24" s="363">
        <v>730</v>
      </c>
      <c r="S24" s="363">
        <v>690</v>
      </c>
      <c r="T24" s="371"/>
      <c r="U24" s="365">
        <f t="shared" si="6"/>
        <v>5.3549474623502169</v>
      </c>
      <c r="V24" s="365">
        <f t="shared" si="7"/>
        <v>5.3549474623502169</v>
      </c>
      <c r="W24" s="366">
        <f t="shared" si="8"/>
        <v>5.3549474623502169</v>
      </c>
      <c r="X24" s="367">
        <f t="shared" si="9"/>
        <v>32.58563827896009</v>
      </c>
      <c r="Y24" s="367">
        <f t="shared" si="10"/>
        <v>31.676734170059309</v>
      </c>
      <c r="Z24" s="367"/>
      <c r="AA24" s="270">
        <v>1000986</v>
      </c>
      <c r="AB24" s="775"/>
      <c r="AC24" s="777"/>
      <c r="AE24" s="638"/>
      <c r="AF24" s="638"/>
      <c r="AG24" s="640">
        <f>IF('Flow charts'!$A$7=$O$15,X24, IF('Flow charts'!$A$7=$Q$15,Y24,"NO DATA"))</f>
        <v>31.676734170059309</v>
      </c>
      <c r="AH24" s="637">
        <f>IF('Flow charts'!$A$7=$O$15,U24,  IF('Flow charts'!$A$7=$Q$15,W24,"NO DATA"))</f>
        <v>5.3549474623502169</v>
      </c>
      <c r="AI24" s="640">
        <f t="shared" si="11"/>
        <v>26.321786707709091</v>
      </c>
      <c r="AJ24" s="638"/>
      <c r="AK24" s="638"/>
      <c r="AL24" s="638"/>
    </row>
    <row r="25" spans="1:38" ht="15" customHeight="1" x14ac:dyDescent="0.25">
      <c r="A25" s="893"/>
      <c r="B25" s="357">
        <v>18</v>
      </c>
      <c r="C25" s="250">
        <v>25</v>
      </c>
      <c r="D25" s="250">
        <v>200</v>
      </c>
      <c r="E25" s="323">
        <f t="shared" si="3"/>
        <v>200</v>
      </c>
      <c r="F25" s="372" t="e">
        <f>IF(OR(#REF!="", E25=""),"",(E25-#REF!*K25)^I25*(J25+E25*M25))</f>
        <v>#REF!</v>
      </c>
      <c r="G25" s="375">
        <f t="shared" si="0"/>
        <v>10.922606961756149</v>
      </c>
      <c r="H25" s="373">
        <f t="shared" si="4"/>
        <v>6.4288037427266858</v>
      </c>
      <c r="I25" s="300">
        <v>0.499</v>
      </c>
      <c r="J25" s="301">
        <v>0.45700000000000002</v>
      </c>
      <c r="K25" s="301">
        <v>0</v>
      </c>
      <c r="L25" s="301">
        <v>0.25</v>
      </c>
      <c r="M25" s="428">
        <v>0</v>
      </c>
      <c r="N25" s="350">
        <v>25</v>
      </c>
      <c r="O25" s="360">
        <f t="shared" si="5"/>
        <v>25</v>
      </c>
      <c r="P25" s="361">
        <f t="shared" si="5"/>
        <v>25</v>
      </c>
      <c r="Q25" s="362">
        <f t="shared" si="5"/>
        <v>25</v>
      </c>
      <c r="R25" s="363">
        <v>730</v>
      </c>
      <c r="S25" s="363">
        <v>690</v>
      </c>
      <c r="T25" s="371"/>
      <c r="U25" s="365">
        <f t="shared" si="6"/>
        <v>2.2776566936762075</v>
      </c>
      <c r="V25" s="365">
        <f t="shared" si="7"/>
        <v>2.2776566936762075</v>
      </c>
      <c r="W25" s="366">
        <f t="shared" si="8"/>
        <v>2.2776566936762075</v>
      </c>
      <c r="X25" s="367">
        <f t="shared" si="9"/>
        <v>12.266320480978111</v>
      </c>
      <c r="Y25" s="367">
        <f t="shared" si="10"/>
        <v>11.926194734198138</v>
      </c>
      <c r="Z25" s="374"/>
      <c r="AA25" s="270">
        <v>1000405</v>
      </c>
      <c r="AB25" s="775" t="s">
        <v>94</v>
      </c>
      <c r="AC25" s="777"/>
      <c r="AE25" s="638"/>
      <c r="AF25" s="638"/>
      <c r="AG25" s="640">
        <f>IF('Flow charts'!$A$7=$O$15,X25, IF('Flow charts'!$A$7=$Q$15,Y25,"NO DATA"))</f>
        <v>11.926194734198138</v>
      </c>
      <c r="AH25" s="637">
        <f>IF('Flow charts'!$A$7=$O$15,U25,  IF('Flow charts'!$A$7=$Q$15,W25,"NO DATA"))</f>
        <v>2.2776566936762075</v>
      </c>
      <c r="AI25" s="637">
        <f t="shared" si="11"/>
        <v>9.648538040521931</v>
      </c>
      <c r="AJ25" s="638"/>
      <c r="AK25" s="638"/>
      <c r="AL25" s="638"/>
    </row>
    <row r="26" spans="1:38" ht="15" customHeight="1" x14ac:dyDescent="0.25">
      <c r="A26" s="893"/>
      <c r="B26" s="357">
        <v>11</v>
      </c>
      <c r="C26" s="250">
        <v>25</v>
      </c>
      <c r="D26" s="250">
        <v>250</v>
      </c>
      <c r="E26" s="358">
        <f t="shared" si="3"/>
        <v>250</v>
      </c>
      <c r="F26" s="372" t="e">
        <f>IF(OR(#REF!="", E26=""),"",(E26-#REF!*K26)^I26*(J26+E26*M26))</f>
        <v>#REF!</v>
      </c>
      <c r="G26" s="375">
        <f t="shared" si="0"/>
        <v>5.0034628266915142</v>
      </c>
      <c r="H26" s="375">
        <f t="shared" si="4"/>
        <v>2.9449270361419764</v>
      </c>
      <c r="I26" s="369">
        <v>0.48</v>
      </c>
      <c r="J26" s="376">
        <v>0.20799999999999999</v>
      </c>
      <c r="K26" s="301">
        <v>0</v>
      </c>
      <c r="L26" s="301">
        <v>0.25</v>
      </c>
      <c r="M26" s="428">
        <v>0</v>
      </c>
      <c r="N26" s="350">
        <v>25</v>
      </c>
      <c r="O26" s="360">
        <f t="shared" si="5"/>
        <v>25</v>
      </c>
      <c r="P26" s="361">
        <f t="shared" si="5"/>
        <v>25</v>
      </c>
      <c r="Q26" s="362">
        <f t="shared" si="5"/>
        <v>25</v>
      </c>
      <c r="R26" s="363">
        <v>730</v>
      </c>
      <c r="S26" s="363">
        <v>690</v>
      </c>
      <c r="T26" s="371"/>
      <c r="U26" s="365">
        <f t="shared" si="6"/>
        <v>0.97515699216209595</v>
      </c>
      <c r="V26" s="365">
        <f t="shared" si="7"/>
        <v>0.97515699216209595</v>
      </c>
      <c r="W26" s="366">
        <f t="shared" si="8"/>
        <v>0.97515699216209595</v>
      </c>
      <c r="X26" s="374">
        <f t="shared" si="9"/>
        <v>4.9255905551350345</v>
      </c>
      <c r="Y26" s="374">
        <f t="shared" si="10"/>
        <v>4.7941420557592593</v>
      </c>
      <c r="Z26" s="374"/>
      <c r="AA26" s="270">
        <v>1000481</v>
      </c>
      <c r="AB26" s="775" t="s">
        <v>94</v>
      </c>
      <c r="AC26" s="777"/>
      <c r="AE26" s="638"/>
      <c r="AF26" s="638"/>
      <c r="AG26" s="637">
        <f>IF('Flow charts'!$A$7=$O$15,X26, IF('Flow charts'!$A$7=$Q$15,Y26,"NO DATA"))</f>
        <v>4.7941420557592593</v>
      </c>
      <c r="AH26" s="637">
        <f>IF('Flow charts'!$A$7=$O$15,U26,  IF('Flow charts'!$A$7=$Q$15,W26,"NO DATA"))</f>
        <v>0.97515699216209595</v>
      </c>
      <c r="AI26" s="637">
        <f t="shared" si="11"/>
        <v>3.8189850635971636</v>
      </c>
      <c r="AJ26" s="638"/>
      <c r="AK26" s="638"/>
      <c r="AL26" s="638"/>
    </row>
    <row r="27" spans="1:38" ht="15.75" customHeight="1" thickBot="1" x14ac:dyDescent="0.3">
      <c r="A27" s="894"/>
      <c r="B27" s="377">
        <v>7</v>
      </c>
      <c r="C27" s="252">
        <v>25</v>
      </c>
      <c r="D27" s="252">
        <v>250</v>
      </c>
      <c r="E27" s="309">
        <f t="shared" si="3"/>
        <v>250</v>
      </c>
      <c r="F27" s="378" t="e">
        <f>IF(OR(#REF!="", E27=""),"",(E27-#REF!*K27)^I27*(J27+E27*M27))</f>
        <v>#REF!</v>
      </c>
      <c r="G27" s="375">
        <f t="shared" si="0"/>
        <v>1.9288150541209017</v>
      </c>
      <c r="H27" s="379">
        <f t="shared" si="4"/>
        <v>1.1352576800004481</v>
      </c>
      <c r="I27" s="380">
        <v>0.5</v>
      </c>
      <c r="J27" s="381">
        <v>7.1800000000000003E-2</v>
      </c>
      <c r="K27" s="381">
        <v>0</v>
      </c>
      <c r="L27" s="381">
        <v>0.11</v>
      </c>
      <c r="M27" s="434">
        <v>0</v>
      </c>
      <c r="N27" s="382">
        <v>25</v>
      </c>
      <c r="O27" s="314">
        <f t="shared" si="5"/>
        <v>25</v>
      </c>
      <c r="P27" s="315">
        <f t="shared" si="5"/>
        <v>25</v>
      </c>
      <c r="Q27" s="316">
        <f t="shared" si="5"/>
        <v>25</v>
      </c>
      <c r="R27" s="321">
        <v>730</v>
      </c>
      <c r="S27" s="321">
        <v>690</v>
      </c>
      <c r="T27" s="383"/>
      <c r="U27" s="384">
        <f t="shared" si="6"/>
        <v>0.35899999999999999</v>
      </c>
      <c r="V27" s="384">
        <f t="shared" si="7"/>
        <v>0.35899999999999999</v>
      </c>
      <c r="W27" s="385">
        <f t="shared" si="8"/>
        <v>0.35899999999999999</v>
      </c>
      <c r="X27" s="386">
        <f t="shared" si="9"/>
        <v>1.9399291739648641</v>
      </c>
      <c r="Y27" s="386">
        <f t="shared" si="10"/>
        <v>1.886031707050547</v>
      </c>
      <c r="Z27" s="386"/>
      <c r="AA27" s="270">
        <v>1003185</v>
      </c>
      <c r="AB27" s="775" t="s">
        <v>94</v>
      </c>
      <c r="AC27" s="777"/>
      <c r="AE27" s="638"/>
      <c r="AF27" s="638"/>
      <c r="AG27" s="637">
        <f>IF('Flow charts'!$A$7=$O$15,X27, IF('Flow charts'!$A$7=$Q$15,Y27,"NO DATA"))</f>
        <v>1.886031707050547</v>
      </c>
      <c r="AH27" s="639">
        <f>IF('Flow charts'!$A$7=$O$15,U27,  IF('Flow charts'!$A$7=$Q$15,W27,"NO DATA"))</f>
        <v>0.35899999999999999</v>
      </c>
      <c r="AI27" s="637">
        <f t="shared" si="11"/>
        <v>1.527031707050547</v>
      </c>
      <c r="AJ27" s="638"/>
      <c r="AK27" s="638"/>
      <c r="AL27" s="638"/>
    </row>
    <row r="28" spans="1:38" ht="32.25" customHeight="1" thickBot="1" x14ac:dyDescent="0.3">
      <c r="C28" s="322"/>
      <c r="D28" s="269"/>
      <c r="E28" s="387"/>
      <c r="F28" s="324"/>
      <c r="G28" s="868"/>
      <c r="H28" s="388"/>
      <c r="I28" s="389"/>
      <c r="J28" s="327"/>
      <c r="K28" s="327"/>
      <c r="L28" s="327"/>
      <c r="M28" s="327"/>
      <c r="N28" s="328"/>
      <c r="O28" s="269"/>
      <c r="P28" s="269"/>
      <c r="Q28" s="269"/>
      <c r="R28" s="353"/>
      <c r="S28" s="769"/>
      <c r="T28" s="762" t="s">
        <v>108</v>
      </c>
      <c r="U28" s="355"/>
      <c r="V28" s="390"/>
      <c r="W28" s="390"/>
      <c r="X28" s="767"/>
      <c r="Y28" s="770"/>
      <c r="Z28" s="762" t="s">
        <v>108</v>
      </c>
      <c r="AA28" s="337"/>
      <c r="AB28" s="775"/>
      <c r="AD28" s="786" t="s">
        <v>109</v>
      </c>
      <c r="AE28" s="638"/>
      <c r="AF28" s="638"/>
      <c r="AG28" s="638"/>
      <c r="AH28" s="638"/>
      <c r="AI28" s="638"/>
      <c r="AJ28" s="638"/>
      <c r="AK28" s="638" t="s">
        <v>107</v>
      </c>
      <c r="AL28" s="638"/>
    </row>
    <row r="29" spans="1:38" x14ac:dyDescent="0.25">
      <c r="A29" s="884">
        <v>340</v>
      </c>
      <c r="B29" s="394" t="s">
        <v>4</v>
      </c>
      <c r="C29" s="247">
        <v>25</v>
      </c>
      <c r="D29" s="247">
        <v>300</v>
      </c>
      <c r="E29" s="286">
        <f>IF(OR(C29="",D29="", D29&lt;0),"---",        IF(AND(C29&gt;0, D29&gt;=N29,D29&gt;=ABS(C29)*L29),D29,"---"))</f>
        <v>300</v>
      </c>
      <c r="F29" s="395" t="e">
        <f>IF(OR(#REF!="", E29=""),"",(E29-#REF!*K29)^I29*(J29+E29*M29))</f>
        <v>#REF!</v>
      </c>
      <c r="G29" s="375">
        <f t="shared" ref="G29:G37" si="12">IF($E$11="m3/h",IF(H29="---","---",(H29*(1/0.58857777866))),IF($E$11="m3/s",IF(H29="---","---",FIXED((H29*0.0004719474432),5,FALSE)),IF($E$11="L/s",IF(H29="---","---",(H29*0.47194745)),"---")))</f>
        <v>855.62207081983445</v>
      </c>
      <c r="H29" s="288">
        <f t="shared" ref="H29:H37" si="13">IF(E29="---","---", (E29-ABS(C29)*K29)^I29*(J29+E29*M29))</f>
        <v>503.60013781560741</v>
      </c>
      <c r="I29" s="396">
        <v>0.501</v>
      </c>
      <c r="J29" s="397">
        <v>28.91</v>
      </c>
      <c r="K29" s="397">
        <v>0</v>
      </c>
      <c r="L29" s="397">
        <v>0.4</v>
      </c>
      <c r="M29" s="663">
        <v>0</v>
      </c>
      <c r="N29" s="398">
        <v>20</v>
      </c>
      <c r="O29" s="399">
        <f>IF($L29*O$15&gt;$N29, $L29*O$15, $N29)</f>
        <v>20</v>
      </c>
      <c r="P29" s="486">
        <f>IF($L29*P$15&gt;$N29, $L29*P$15, $N29)</f>
        <v>20</v>
      </c>
      <c r="Q29" s="400">
        <f>IF($L29*Q$15&gt;$N29, $L29*Q$15, $N29)</f>
        <v>20</v>
      </c>
      <c r="R29" s="402">
        <v>788.5</v>
      </c>
      <c r="S29" s="295">
        <v>683</v>
      </c>
      <c r="T29" s="771">
        <v>731.7</v>
      </c>
      <c r="U29" s="404">
        <f t="shared" si="6"/>
        <v>129.67734776655371</v>
      </c>
      <c r="V29" s="404">
        <f t="shared" si="7"/>
        <v>129.67734776655371</v>
      </c>
      <c r="W29" s="405">
        <f t="shared" si="8"/>
        <v>129.67734776655371</v>
      </c>
      <c r="X29" s="406">
        <f t="shared" si="9"/>
        <v>817.23271210241182</v>
      </c>
      <c r="Y29" s="406">
        <f t="shared" ref="Y29:Y45" si="14">S29^$I29*$J29</f>
        <v>760.48887318602885</v>
      </c>
      <c r="Z29" s="772">
        <f t="shared" ref="Z29:Z43" si="15">T29^$I29*$J29</f>
        <v>787.18888310555974</v>
      </c>
      <c r="AB29" s="775"/>
      <c r="AD29" s="637">
        <f t="shared" ref="AD29:AD37" si="16">Z29-Y29</f>
        <v>26.700009919530885</v>
      </c>
      <c r="AE29" s="638"/>
      <c r="AF29" s="638"/>
      <c r="AG29" s="640">
        <f>IF('Flow charts'!$A$40=$O$15,X29, IF('Flow charts'!$A$40=$T$28,Z29,"NO DATA"))</f>
        <v>787.18888310555974</v>
      </c>
      <c r="AH29" s="640">
        <f>IF('Flow charts'!$A$40=$O$15,U29, IF('Flow charts'!$A$40=$T$28,V29, "NO DATA"))</f>
        <v>129.67734776655371</v>
      </c>
      <c r="AI29" s="640">
        <f>AG29-AH29</f>
        <v>657.51153533900606</v>
      </c>
      <c r="AJ29" s="638"/>
      <c r="AK29" s="784">
        <f>O15</f>
        <v>0</v>
      </c>
      <c r="AL29" s="638"/>
    </row>
    <row r="30" spans="1:38" ht="15" customHeight="1" x14ac:dyDescent="0.25">
      <c r="A30" s="885"/>
      <c r="B30" s="407" t="s">
        <v>78</v>
      </c>
      <c r="C30" s="250">
        <v>-25</v>
      </c>
      <c r="D30" s="250">
        <v>300</v>
      </c>
      <c r="E30" s="323">
        <f>IF(OR(C30="",D30="", D30&lt;0),"---",        IF(AND(C30&lt;0, D30&gt;=N30,D30&gt;=ABS(C30)*L30),D30,"---"))</f>
        <v>300</v>
      </c>
      <c r="F30" s="408" t="e">
        <f>IF(OR(#REF!="", E30=""),"",(E30-#REF!*K30)^I30*(J30+E30*M30))</f>
        <v>#REF!</v>
      </c>
      <c r="G30" s="375">
        <f t="shared" si="12"/>
        <v>881.29073294442946</v>
      </c>
      <c r="H30" s="370">
        <f t="shared" si="13"/>
        <v>518.70814195007563</v>
      </c>
      <c r="I30" s="409">
        <v>0.501</v>
      </c>
      <c r="J30" s="410">
        <v>29.7773</v>
      </c>
      <c r="K30" s="411">
        <v>0</v>
      </c>
      <c r="L30" s="411">
        <v>0.4</v>
      </c>
      <c r="M30" s="493">
        <v>0</v>
      </c>
      <c r="N30" s="667">
        <v>20</v>
      </c>
      <c r="O30" s="412">
        <f t="shared" ref="O30:P37" si="17">IF($L30*O$15&gt;$N30, $L30*O$15, $N30)</f>
        <v>20</v>
      </c>
      <c r="P30" s="351">
        <f t="shared" si="17"/>
        <v>20</v>
      </c>
      <c r="Q30" s="413">
        <f t="shared" ref="Q30:Q37" si="18">IF($L30*Q$15&gt;$N30, $L30*Q$15, $N30)</f>
        <v>20</v>
      </c>
      <c r="R30" s="774">
        <v>729</v>
      </c>
      <c r="S30" s="363">
        <v>605</v>
      </c>
      <c r="T30" s="764">
        <v>660.9</v>
      </c>
      <c r="U30" s="417">
        <f t="shared" si="6"/>
        <v>133.56766819955033</v>
      </c>
      <c r="V30" s="417">
        <f t="shared" si="7"/>
        <v>133.56766819955033</v>
      </c>
      <c r="W30" s="418">
        <f t="shared" si="8"/>
        <v>133.56766819955033</v>
      </c>
      <c r="X30" s="773">
        <f t="shared" si="9"/>
        <v>809.30422577460865</v>
      </c>
      <c r="Y30" s="419">
        <f t="shared" si="14"/>
        <v>737.13114132545411</v>
      </c>
      <c r="Z30" s="773">
        <f t="shared" si="15"/>
        <v>770.50121530314107</v>
      </c>
      <c r="AB30" s="775"/>
      <c r="AD30" s="637">
        <f t="shared" si="16"/>
        <v>33.370073977686957</v>
      </c>
      <c r="AE30" s="638"/>
      <c r="AF30" s="638"/>
      <c r="AG30" s="640">
        <f>IF('Flow charts'!$A$40=$O$15,X30, IF('Flow charts'!$A$40=$T$28,Z30,"NO DATA"))</f>
        <v>770.50121530314107</v>
      </c>
      <c r="AH30" s="640">
        <f>IF('Flow charts'!$A$40=$O$15,U30, IF('Flow charts'!$A$40=$T$28,V30, "NO DATA"))</f>
        <v>133.56766819955033</v>
      </c>
      <c r="AI30" s="640">
        <f t="shared" ref="AI30:AI37" si="19">AG30-AH30</f>
        <v>636.93354710359074</v>
      </c>
      <c r="AJ30" s="638"/>
      <c r="AK30" s="785" t="str">
        <f>T28</f>
        <v>@25 Pa with 10" flex</v>
      </c>
      <c r="AL30" s="638"/>
    </row>
    <row r="31" spans="1:38" ht="15" customHeight="1" x14ac:dyDescent="0.25">
      <c r="A31" s="885"/>
      <c r="B31" s="296">
        <v>102</v>
      </c>
      <c r="C31" s="248">
        <v>25</v>
      </c>
      <c r="D31" s="248">
        <v>300</v>
      </c>
      <c r="E31" s="358">
        <f t="shared" ref="E31:E37" si="20">IF(OR(C31="",D31="", D31&lt;0),"---",        IF(AND(D31&gt;=N31,D31&gt;=ABS(C31)*L31),D31,"---"))</f>
        <v>300</v>
      </c>
      <c r="F31" s="298" t="e">
        <f>IF(OR(#REF!="", E31=""),"",(E31-#REF!*K31)^I31*(J31+E31*M31))</f>
        <v>#REF!</v>
      </c>
      <c r="G31" s="375">
        <f t="shared" si="12"/>
        <v>526.11593557091089</v>
      </c>
      <c r="H31" s="325">
        <f t="shared" si="13"/>
        <v>309.66014867595442</v>
      </c>
      <c r="I31" s="347">
        <v>0.59</v>
      </c>
      <c r="J31" s="348">
        <v>10.7</v>
      </c>
      <c r="K31" s="349">
        <v>0</v>
      </c>
      <c r="L31" s="349">
        <v>0.4</v>
      </c>
      <c r="M31" s="569">
        <v>0</v>
      </c>
      <c r="N31" s="350">
        <v>100</v>
      </c>
      <c r="O31" s="420">
        <f t="shared" si="17"/>
        <v>100</v>
      </c>
      <c r="P31" s="361">
        <f t="shared" si="17"/>
        <v>100</v>
      </c>
      <c r="Q31" s="421">
        <f t="shared" si="18"/>
        <v>100</v>
      </c>
      <c r="R31" s="423">
        <v>760</v>
      </c>
      <c r="S31" s="352">
        <v>740</v>
      </c>
      <c r="T31" s="424">
        <v>695</v>
      </c>
      <c r="U31" s="425">
        <f t="shared" si="6"/>
        <v>161.95105358267432</v>
      </c>
      <c r="V31" s="425">
        <f t="shared" si="7"/>
        <v>161.95105358267432</v>
      </c>
      <c r="W31" s="426">
        <f t="shared" si="8"/>
        <v>161.95105358267432</v>
      </c>
      <c r="X31" s="427">
        <f t="shared" si="9"/>
        <v>535.87537092484104</v>
      </c>
      <c r="Y31" s="427">
        <f>S31^$I31*$J31</f>
        <v>527.50975144172617</v>
      </c>
      <c r="Z31" s="427">
        <f t="shared" si="15"/>
        <v>508.34061779084954</v>
      </c>
      <c r="AB31" s="775"/>
      <c r="AD31" s="637">
        <f t="shared" si="16"/>
        <v>-19.169133650876631</v>
      </c>
      <c r="AE31" s="638"/>
      <c r="AF31" s="638"/>
      <c r="AG31" s="640">
        <f>IF('Flow charts'!$A$40=$O$15,X31, IF('Flow charts'!$A$40=$T$28,Z31,"NO DATA"))</f>
        <v>508.34061779084954</v>
      </c>
      <c r="AH31" s="640">
        <f>IF('Flow charts'!$A$40=$O$15,U31, IF('Flow charts'!$A$40=$T$28,V31, "NO DATA"))</f>
        <v>161.95105358267432</v>
      </c>
      <c r="AI31" s="640">
        <f t="shared" si="19"/>
        <v>346.38956420817522</v>
      </c>
      <c r="AJ31" s="638"/>
      <c r="AK31" s="785"/>
      <c r="AL31" s="638"/>
    </row>
    <row r="32" spans="1:38" ht="15" customHeight="1" x14ac:dyDescent="0.25">
      <c r="A32" s="885"/>
      <c r="B32" s="357">
        <v>74</v>
      </c>
      <c r="C32" s="250">
        <v>25</v>
      </c>
      <c r="D32" s="250">
        <v>300</v>
      </c>
      <c r="E32" s="323">
        <f t="shared" si="20"/>
        <v>300</v>
      </c>
      <c r="F32" s="408" t="e">
        <f>IF(OR(#REF!="", E32=""),"",(E32-#REF!*K32)^I32*(J32+E32*M32))</f>
        <v>#REF!</v>
      </c>
      <c r="G32" s="375">
        <f t="shared" si="12"/>
        <v>213.68429065071209</v>
      </c>
      <c r="H32" s="370">
        <f t="shared" si="13"/>
        <v>125.76982512573395</v>
      </c>
      <c r="I32" s="300">
        <v>0.50449999999999995</v>
      </c>
      <c r="J32" s="359">
        <v>7.0773192087114243</v>
      </c>
      <c r="K32" s="301">
        <v>0</v>
      </c>
      <c r="L32" s="301">
        <v>0.25</v>
      </c>
      <c r="M32" s="428">
        <v>0</v>
      </c>
      <c r="N32" s="350">
        <v>15</v>
      </c>
      <c r="O32" s="360">
        <f t="shared" si="17"/>
        <v>15</v>
      </c>
      <c r="P32" s="361">
        <f t="shared" si="17"/>
        <v>15</v>
      </c>
      <c r="Q32" s="361">
        <f t="shared" si="18"/>
        <v>15</v>
      </c>
      <c r="R32" s="363">
        <v>760</v>
      </c>
      <c r="S32" s="363">
        <v>694</v>
      </c>
      <c r="T32" s="424">
        <v>330</v>
      </c>
      <c r="U32" s="365">
        <f t="shared" si="6"/>
        <v>27.746411586175977</v>
      </c>
      <c r="V32" s="365">
        <f t="shared" si="7"/>
        <v>27.746411586175977</v>
      </c>
      <c r="W32" s="366">
        <f t="shared" si="8"/>
        <v>27.746411586175977</v>
      </c>
      <c r="X32" s="367">
        <f t="shared" si="9"/>
        <v>201.01998736756497</v>
      </c>
      <c r="Y32" s="367">
        <f>S32^$I32*$J32</f>
        <v>192.01477020896263</v>
      </c>
      <c r="Z32" s="367">
        <f t="shared" si="15"/>
        <v>131.96509256397226</v>
      </c>
      <c r="AB32" s="775"/>
      <c r="AD32" s="637">
        <f t="shared" si="16"/>
        <v>-60.049677644990368</v>
      </c>
      <c r="AE32" s="638"/>
      <c r="AF32" s="638"/>
      <c r="AG32" s="640">
        <f>IF('Flow charts'!$A$40=$O$15,X32, IF('Flow charts'!$A$40=$T$28,Z32,"NO DATA"))</f>
        <v>131.96509256397226</v>
      </c>
      <c r="AH32" s="640">
        <f>IF('Flow charts'!$A$40=$O$15,U32, IF('Flow charts'!$A$40=$T$28,V32, "NO DATA"))</f>
        <v>27.746411586175977</v>
      </c>
      <c r="AI32" s="640">
        <f t="shared" si="19"/>
        <v>104.21868097779628</v>
      </c>
      <c r="AJ32" s="638"/>
      <c r="AK32" s="638"/>
      <c r="AL32" s="638"/>
    </row>
    <row r="33" spans="1:39" ht="15" customHeight="1" x14ac:dyDescent="0.25">
      <c r="A33" s="885"/>
      <c r="B33" s="429">
        <v>47</v>
      </c>
      <c r="C33" s="250">
        <v>25</v>
      </c>
      <c r="D33" s="250">
        <v>15</v>
      </c>
      <c r="E33" s="430">
        <f t="shared" si="20"/>
        <v>15</v>
      </c>
      <c r="F33" s="408" t="e">
        <f>IF(OR(#REF!="", E33=""),"",(E33-#REF!*K33)^I33*(J33+E33*M33))</f>
        <v>#REF!</v>
      </c>
      <c r="G33" s="375">
        <f t="shared" si="12"/>
        <v>21.326137996876007</v>
      </c>
      <c r="H33" s="370">
        <f t="shared" si="13"/>
        <v>12.552090929597904</v>
      </c>
      <c r="I33" s="369">
        <v>0.5</v>
      </c>
      <c r="J33" s="359">
        <v>3.2409359420275905</v>
      </c>
      <c r="K33" s="301">
        <v>0</v>
      </c>
      <c r="L33" s="301">
        <v>0.1</v>
      </c>
      <c r="M33" s="428">
        <v>0</v>
      </c>
      <c r="N33" s="350">
        <v>10</v>
      </c>
      <c r="O33" s="360">
        <f t="shared" si="17"/>
        <v>10</v>
      </c>
      <c r="P33" s="361">
        <f t="shared" si="17"/>
        <v>10</v>
      </c>
      <c r="Q33" s="361">
        <f t="shared" si="18"/>
        <v>10</v>
      </c>
      <c r="R33" s="363">
        <v>730</v>
      </c>
      <c r="S33" s="363">
        <v>650</v>
      </c>
      <c r="T33" s="424">
        <v>415</v>
      </c>
      <c r="U33" s="365">
        <f t="shared" si="6"/>
        <v>10.248739327510611</v>
      </c>
      <c r="V33" s="365">
        <f t="shared" si="7"/>
        <v>10.248739327510611</v>
      </c>
      <c r="W33" s="366">
        <f t="shared" si="8"/>
        <v>10.248739327510611</v>
      </c>
      <c r="X33" s="367">
        <f t="shared" si="9"/>
        <v>87.565267199033741</v>
      </c>
      <c r="Y33" s="374">
        <f t="shared" si="14"/>
        <v>82.627978053514497</v>
      </c>
      <c r="Z33" s="374">
        <f t="shared" si="15"/>
        <v>66.02288466005858</v>
      </c>
      <c r="AB33" s="775"/>
      <c r="AD33" s="637">
        <f t="shared" si="16"/>
        <v>-16.605093393455917</v>
      </c>
      <c r="AE33" s="638"/>
      <c r="AF33" s="638"/>
      <c r="AG33" s="640">
        <f>IF('Flow charts'!$A$40=$O$15,X33, IF('Flow charts'!$A$40=$T$28,Z33,"NO DATA"))</f>
        <v>66.02288466005858</v>
      </c>
      <c r="AH33" s="640">
        <f>IF('Flow charts'!$A$40=$O$15,U33, IF('Flow charts'!$A$40=$T$28,V33, "NO DATA"))</f>
        <v>10.248739327510611</v>
      </c>
      <c r="AI33" s="640">
        <f t="shared" si="19"/>
        <v>55.774145332547967</v>
      </c>
      <c r="AJ33" s="638"/>
      <c r="AK33" s="638"/>
      <c r="AL33" s="638"/>
    </row>
    <row r="34" spans="1:39" ht="15" customHeight="1" x14ac:dyDescent="0.25">
      <c r="A34" s="885"/>
      <c r="B34" s="431">
        <v>29</v>
      </c>
      <c r="C34" s="250">
        <v>25</v>
      </c>
      <c r="D34" s="250">
        <v>25</v>
      </c>
      <c r="E34" s="430">
        <f t="shared" si="20"/>
        <v>25</v>
      </c>
      <c r="F34" s="298" t="e">
        <f>IF(OR(#REF!="", E34=""),"",(E34-#REF!*K34)^I34*(J34+E34*M34))</f>
        <v>#REF!</v>
      </c>
      <c r="G34" s="375">
        <f t="shared" si="12"/>
        <v>10.176540826315435</v>
      </c>
      <c r="H34" s="432">
        <f t="shared" si="13"/>
        <v>5.9896857939955401</v>
      </c>
      <c r="I34" s="369">
        <v>0.502</v>
      </c>
      <c r="J34" s="359">
        <v>1.1902499077349771</v>
      </c>
      <c r="K34" s="301">
        <v>0</v>
      </c>
      <c r="L34" s="301">
        <v>0.2</v>
      </c>
      <c r="M34" s="428">
        <v>0</v>
      </c>
      <c r="N34" s="350">
        <v>20</v>
      </c>
      <c r="O34" s="360">
        <f t="shared" si="17"/>
        <v>20</v>
      </c>
      <c r="P34" s="361">
        <f t="shared" si="17"/>
        <v>20</v>
      </c>
      <c r="Q34" s="361">
        <f t="shared" si="18"/>
        <v>20</v>
      </c>
      <c r="R34" s="363">
        <v>730</v>
      </c>
      <c r="S34" s="363">
        <v>690</v>
      </c>
      <c r="T34" s="763">
        <v>425.73199093128164</v>
      </c>
      <c r="U34" s="365">
        <f t="shared" si="6"/>
        <v>5.3549474623502169</v>
      </c>
      <c r="V34" s="365">
        <f t="shared" si="7"/>
        <v>5.3549474623502169</v>
      </c>
      <c r="W34" s="366">
        <f t="shared" si="8"/>
        <v>5.3549474623502169</v>
      </c>
      <c r="X34" s="374">
        <f t="shared" si="9"/>
        <v>32.58563827896009</v>
      </c>
      <c r="Y34" s="374">
        <f t="shared" si="14"/>
        <v>31.676734170059309</v>
      </c>
      <c r="Z34" s="374">
        <f t="shared" si="15"/>
        <v>24.857907747098437</v>
      </c>
      <c r="AB34" s="775" t="s">
        <v>94</v>
      </c>
      <c r="AD34" s="637">
        <f t="shared" si="16"/>
        <v>-6.8188264229608713</v>
      </c>
      <c r="AE34" s="638"/>
      <c r="AF34" s="638"/>
      <c r="AG34" s="640">
        <f>IF('Flow charts'!$A$40=$O$15,X34, IF('Flow charts'!$A$40=$T$28,Z34,"NO DATA"))</f>
        <v>24.857907747098437</v>
      </c>
      <c r="AH34" s="637">
        <f>IF('Flow charts'!$A$40=$O$15,U34, IF('Flow charts'!$A$40=$T$28,V34, "NO DATA"))</f>
        <v>5.3549474623502169</v>
      </c>
      <c r="AI34" s="640">
        <f t="shared" si="19"/>
        <v>19.50296028474822</v>
      </c>
      <c r="AJ34" s="638"/>
      <c r="AK34" s="638"/>
      <c r="AL34" s="638"/>
    </row>
    <row r="35" spans="1:39" ht="15" customHeight="1" x14ac:dyDescent="0.25">
      <c r="A35" s="885"/>
      <c r="B35" s="357">
        <v>18</v>
      </c>
      <c r="C35" s="250">
        <v>25</v>
      </c>
      <c r="D35" s="250">
        <v>25</v>
      </c>
      <c r="E35" s="430">
        <f t="shared" si="20"/>
        <v>25</v>
      </c>
      <c r="F35" s="298" t="e">
        <f>IF(OR(#REF!="", E35=""),"",(E35-#REF!*K35)^I35*(J35+E35*M35))</f>
        <v>#REF!</v>
      </c>
      <c r="G35" s="375">
        <f t="shared" si="12"/>
        <v>3.8697633112512166</v>
      </c>
      <c r="H35" s="432">
        <f t="shared" si="13"/>
        <v>2.2776566936762075</v>
      </c>
      <c r="I35" s="300">
        <v>0.499</v>
      </c>
      <c r="J35" s="301">
        <v>0.45700000000000002</v>
      </c>
      <c r="K35" s="301">
        <v>0</v>
      </c>
      <c r="L35" s="301">
        <v>0.25</v>
      </c>
      <c r="M35" s="428">
        <v>0</v>
      </c>
      <c r="N35" s="350">
        <v>25</v>
      </c>
      <c r="O35" s="360">
        <f t="shared" si="17"/>
        <v>25</v>
      </c>
      <c r="P35" s="361">
        <f t="shared" si="17"/>
        <v>25</v>
      </c>
      <c r="Q35" s="361">
        <f t="shared" si="18"/>
        <v>25</v>
      </c>
      <c r="R35" s="363">
        <v>730</v>
      </c>
      <c r="S35" s="363">
        <v>690</v>
      </c>
      <c r="T35" s="763">
        <v>472.30751104175147</v>
      </c>
      <c r="U35" s="365">
        <f t="shared" si="6"/>
        <v>2.2776566936762075</v>
      </c>
      <c r="V35" s="365">
        <f t="shared" si="7"/>
        <v>2.2776566936762075</v>
      </c>
      <c r="W35" s="366">
        <f t="shared" si="8"/>
        <v>2.2776566936762075</v>
      </c>
      <c r="X35" s="374">
        <f t="shared" si="9"/>
        <v>12.266320480978111</v>
      </c>
      <c r="Y35" s="374">
        <f t="shared" si="14"/>
        <v>11.926194734198138</v>
      </c>
      <c r="Z35" s="374">
        <f t="shared" si="15"/>
        <v>9.8708465677731372</v>
      </c>
      <c r="AB35" s="775" t="s">
        <v>94</v>
      </c>
      <c r="AD35" s="637">
        <f t="shared" si="16"/>
        <v>-2.0553481664250004</v>
      </c>
      <c r="AE35" s="638"/>
      <c r="AF35" s="638"/>
      <c r="AG35" s="637">
        <f>IF('Flow charts'!$A$40=$O$15,X35, IF('Flow charts'!$A$40=$T$28,Z35,"NO DATA"))</f>
        <v>9.8708465677731372</v>
      </c>
      <c r="AH35" s="637">
        <f>IF('Flow charts'!$A$40=$O$15,U35, IF('Flow charts'!$A$40=$T$28,V35, "NO DATA"))</f>
        <v>2.2776566936762075</v>
      </c>
      <c r="AI35" s="637">
        <f t="shared" si="19"/>
        <v>7.5931898740969297</v>
      </c>
      <c r="AJ35" s="638"/>
      <c r="AK35" s="638"/>
      <c r="AL35" s="638"/>
    </row>
    <row r="36" spans="1:39" ht="15" customHeight="1" x14ac:dyDescent="0.25">
      <c r="A36" s="885"/>
      <c r="B36" s="357">
        <v>11</v>
      </c>
      <c r="C36" s="250">
        <v>25</v>
      </c>
      <c r="D36" s="250">
        <v>300</v>
      </c>
      <c r="E36" s="430">
        <f t="shared" si="20"/>
        <v>300</v>
      </c>
      <c r="F36" s="298" t="e">
        <f>IF(OR(#REF!="", E36=""),"",(E36-#REF!*K36)^I36*(J36+E36*M36))</f>
        <v>#REF!</v>
      </c>
      <c r="G36" s="375">
        <f t="shared" si="12"/>
        <v>5.4610691484432055</v>
      </c>
      <c r="H36" s="373">
        <f t="shared" si="13"/>
        <v>3.2142639484993598</v>
      </c>
      <c r="I36" s="369">
        <v>0.48</v>
      </c>
      <c r="J36" s="376">
        <v>0.20799999999999999</v>
      </c>
      <c r="K36" s="301">
        <v>0</v>
      </c>
      <c r="L36" s="301">
        <v>0.25</v>
      </c>
      <c r="M36" s="428">
        <v>0</v>
      </c>
      <c r="N36" s="350">
        <v>25</v>
      </c>
      <c r="O36" s="360">
        <f t="shared" si="17"/>
        <v>25</v>
      </c>
      <c r="P36" s="361">
        <f t="shared" si="17"/>
        <v>25</v>
      </c>
      <c r="Q36" s="361">
        <f t="shared" si="18"/>
        <v>25</v>
      </c>
      <c r="R36" s="363">
        <v>730</v>
      </c>
      <c r="S36" s="363">
        <v>690</v>
      </c>
      <c r="T36" s="763">
        <v>478.75696062461873</v>
      </c>
      <c r="U36" s="365">
        <f t="shared" si="6"/>
        <v>0.97515699216209595</v>
      </c>
      <c r="V36" s="365">
        <f t="shared" si="7"/>
        <v>0.97515699216209595</v>
      </c>
      <c r="W36" s="366">
        <f t="shared" si="8"/>
        <v>0.97515699216209595</v>
      </c>
      <c r="X36" s="367">
        <f t="shared" si="9"/>
        <v>4.9255905551350345</v>
      </c>
      <c r="Y36" s="367">
        <f t="shared" si="14"/>
        <v>4.7941420557592593</v>
      </c>
      <c r="Z36" s="367">
        <f t="shared" si="15"/>
        <v>4.0227086887717949</v>
      </c>
      <c r="AB36" s="775" t="s">
        <v>94</v>
      </c>
      <c r="AD36" s="637">
        <f t="shared" si="16"/>
        <v>-0.77143336698746445</v>
      </c>
      <c r="AE36" s="638"/>
      <c r="AF36" s="638"/>
      <c r="AG36" s="637">
        <f>IF('Flow charts'!$A$40=$O$15,X36, IF('Flow charts'!$A$40=$T$28,Z36,"NO DATA"))</f>
        <v>4.0227086887717949</v>
      </c>
      <c r="AH36" s="637">
        <f>IF('Flow charts'!$A$40=$O$15,U36, IF('Flow charts'!$A$40=$T$28,V36, "NO DATA"))</f>
        <v>0.97515699216209595</v>
      </c>
      <c r="AI36" s="637">
        <f t="shared" si="19"/>
        <v>3.0475516966096992</v>
      </c>
      <c r="AJ36" s="638"/>
      <c r="AK36" s="638"/>
      <c r="AL36" s="638"/>
    </row>
    <row r="37" spans="1:39" ht="15.75" thickBot="1" x14ac:dyDescent="0.3">
      <c r="A37" s="886"/>
      <c r="B37" s="377">
        <v>7</v>
      </c>
      <c r="C37" s="252">
        <v>25</v>
      </c>
      <c r="D37" s="252">
        <v>250</v>
      </c>
      <c r="E37" s="433">
        <f t="shared" si="20"/>
        <v>250</v>
      </c>
      <c r="F37" s="378" t="e">
        <f>IF(OR(#REF!="", E37=""),"",(E37-#REF!*K37)^I37*(J37+E37*M37))</f>
        <v>#REF!</v>
      </c>
      <c r="G37" s="375">
        <f t="shared" si="12"/>
        <v>1.9288150541209017</v>
      </c>
      <c r="H37" s="379">
        <f t="shared" si="13"/>
        <v>1.1352576800004481</v>
      </c>
      <c r="I37" s="380">
        <v>0.5</v>
      </c>
      <c r="J37" s="381">
        <v>7.1800000000000003E-2</v>
      </c>
      <c r="K37" s="381">
        <v>0</v>
      </c>
      <c r="L37" s="381">
        <v>0.11</v>
      </c>
      <c r="M37" s="434">
        <v>0</v>
      </c>
      <c r="N37" s="382">
        <v>25</v>
      </c>
      <c r="O37" s="314">
        <f t="shared" si="17"/>
        <v>25</v>
      </c>
      <c r="P37" s="315">
        <f t="shared" si="17"/>
        <v>25</v>
      </c>
      <c r="Q37" s="315">
        <f t="shared" si="18"/>
        <v>25</v>
      </c>
      <c r="R37" s="321">
        <v>730</v>
      </c>
      <c r="S37" s="321">
        <v>690</v>
      </c>
      <c r="T37" s="435">
        <v>479.80761949161706</v>
      </c>
      <c r="U37" s="384">
        <f t="shared" si="6"/>
        <v>0.35899999999999999</v>
      </c>
      <c r="V37" s="384">
        <f t="shared" si="7"/>
        <v>0.35899999999999999</v>
      </c>
      <c r="W37" s="384">
        <f t="shared" si="8"/>
        <v>0.35899999999999999</v>
      </c>
      <c r="X37" s="436">
        <f t="shared" si="9"/>
        <v>1.9399291739648641</v>
      </c>
      <c r="Y37" s="436">
        <f t="shared" si="14"/>
        <v>1.886031707050547</v>
      </c>
      <c r="Z37" s="436">
        <f t="shared" si="15"/>
        <v>1.5727439182231684</v>
      </c>
      <c r="AB37" s="775" t="s">
        <v>94</v>
      </c>
      <c r="AD37" s="637">
        <f t="shared" si="16"/>
        <v>-0.31328778882737862</v>
      </c>
      <c r="AE37" s="638"/>
      <c r="AF37" s="638"/>
      <c r="AG37" s="637">
        <f>IF('Flow charts'!$A$40=$O$15,X37, IF('Flow charts'!$A$40=$T$28,Z37,"NO DATA"))</f>
        <v>1.5727439182231684</v>
      </c>
      <c r="AH37" s="639">
        <f>IF('Flow charts'!$A$40=$O$15,U37, IF('Flow charts'!$A$40=$T$28,V37, "NO DATA"))</f>
        <v>0.35899999999999999</v>
      </c>
      <c r="AI37" s="637">
        <f t="shared" si="19"/>
        <v>1.2137439182231684</v>
      </c>
      <c r="AJ37" s="638"/>
      <c r="AK37" s="638"/>
      <c r="AL37" s="638"/>
    </row>
    <row r="38" spans="1:39" ht="42.75" customHeight="1" thickBot="1" x14ac:dyDescent="0.3">
      <c r="C38" s="322"/>
      <c r="D38" s="269"/>
      <c r="E38" s="309"/>
      <c r="F38" s="324"/>
      <c r="G38" s="869"/>
      <c r="H38" s="437"/>
      <c r="I38" s="389"/>
      <c r="J38" s="327"/>
      <c r="K38" s="327"/>
      <c r="L38" s="327"/>
      <c r="M38" s="327"/>
      <c r="N38" s="438"/>
      <c r="O38" s="269"/>
      <c r="P38" s="269"/>
      <c r="Q38" s="782">
        <v>250</v>
      </c>
      <c r="R38" s="353"/>
      <c r="S38" s="769"/>
      <c r="T38" s="762" t="s">
        <v>104</v>
      </c>
      <c r="U38" s="355"/>
      <c r="V38" s="390"/>
      <c r="W38" s="782">
        <v>250</v>
      </c>
      <c r="X38" s="767"/>
      <c r="Y38" s="770"/>
      <c r="Z38" s="762" t="s">
        <v>104</v>
      </c>
      <c r="AA38" s="337"/>
      <c r="AB38" s="788"/>
      <c r="AG38" s="638"/>
      <c r="AH38" s="638"/>
      <c r="AI38" s="638"/>
      <c r="AJ38" s="638"/>
      <c r="AK38" s="638" t="s">
        <v>107</v>
      </c>
      <c r="AL38" s="638"/>
      <c r="AM38" s="638"/>
    </row>
    <row r="39" spans="1:39" ht="15" customHeight="1" x14ac:dyDescent="0.25">
      <c r="A39" s="884">
        <v>350</v>
      </c>
      <c r="B39" s="439">
        <v>102</v>
      </c>
      <c r="C39" s="247">
        <v>25</v>
      </c>
      <c r="D39" s="247">
        <v>300</v>
      </c>
      <c r="E39" s="387">
        <f t="shared" ref="E39:E48" si="21">IF(OR(C39="",D39="", D39&lt;0),"---",        IF(AND(D39&gt;=N39,D39&gt;=ABS(C39)*L39),D39,"---"))</f>
        <v>300</v>
      </c>
      <c r="F39" s="440" t="e">
        <f>IF(OR(#REF!="", E39=""),"",(E39-#REF!*K39)^I39*(J39+E39*M39))</f>
        <v>#REF!</v>
      </c>
      <c r="G39" s="375">
        <f t="shared" ref="G39:G59" si="22">IF($E$11="m3/h",IF(H39="---","---",(H39*(1/0.58857777866))),IF($E$11="m3/s",IF(H39="---","---",FIXED((H39*0.0004719474432),5,FALSE)),IF($E$11="L/s",IF(H39="---","---",(H39*0.47194745)),"---")))</f>
        <v>526.11593557091089</v>
      </c>
      <c r="H39" s="388">
        <f t="shared" ref="H39:H48" si="23">IF(E39="---","---", (E39-ABS(C39)*K39)^I39*(J39+E39*M39))</f>
        <v>309.66014867595442</v>
      </c>
      <c r="I39" s="441">
        <v>0.59</v>
      </c>
      <c r="J39" s="341">
        <v>10.7</v>
      </c>
      <c r="K39" s="341">
        <v>0</v>
      </c>
      <c r="L39" s="341">
        <v>0.4</v>
      </c>
      <c r="M39" s="565">
        <v>0</v>
      </c>
      <c r="N39" s="442">
        <v>100</v>
      </c>
      <c r="O39" s="400">
        <f>IF($L39*O$15&gt;$N39, $L39*O$15, $N39)</f>
        <v>100</v>
      </c>
      <c r="P39" s="486">
        <f>IF($L39*P$15&gt;$N39, $L39*P$15, $N39)</f>
        <v>100</v>
      </c>
      <c r="Q39" s="400">
        <f>IF($L39*Q$38&gt;$N39, $L39*Q$38, $N39)</f>
        <v>100</v>
      </c>
      <c r="R39" s="446">
        <v>760</v>
      </c>
      <c r="S39" s="446">
        <v>740</v>
      </c>
      <c r="T39" s="447">
        <v>496</v>
      </c>
      <c r="U39" s="448">
        <f t="shared" si="6"/>
        <v>161.95105358267432</v>
      </c>
      <c r="V39" s="448">
        <f t="shared" si="7"/>
        <v>161.95105358267432</v>
      </c>
      <c r="W39" s="449">
        <f t="shared" si="8"/>
        <v>161.95105358267432</v>
      </c>
      <c r="X39" s="450">
        <f t="shared" si="9"/>
        <v>535.87537092484104</v>
      </c>
      <c r="Y39" s="450">
        <f t="shared" si="14"/>
        <v>527.50975144172617</v>
      </c>
      <c r="Z39" s="450">
        <f t="shared" si="15"/>
        <v>416.59875412152576</v>
      </c>
      <c r="AB39" s="775"/>
      <c r="AG39" s="640">
        <f>IF('Flow charts'!$A$73=$O$15,X39, IF('Flow charts'!$A$73=$T$38,Z39,"NO DATA"))</f>
        <v>535.87537092484104</v>
      </c>
      <c r="AH39" s="640">
        <f>IF('Flow charts'!$A$73=$O$15,U39, IF('Flow charts'!$A$73=$T$38,W39,"NO DATA"))</f>
        <v>161.95105358267432</v>
      </c>
      <c r="AI39" s="640">
        <f>AG39-AH39</f>
        <v>373.92431734216672</v>
      </c>
      <c r="AJ39" s="638"/>
      <c r="AK39" s="784">
        <f>O15</f>
        <v>0</v>
      </c>
      <c r="AL39" s="638"/>
      <c r="AM39" s="638"/>
    </row>
    <row r="40" spans="1:39" ht="15" customHeight="1" x14ac:dyDescent="0.25">
      <c r="A40" s="885"/>
      <c r="B40" s="431">
        <v>74</v>
      </c>
      <c r="C40" s="250">
        <v>25</v>
      </c>
      <c r="D40" s="250">
        <v>300</v>
      </c>
      <c r="E40" s="430">
        <f t="shared" si="21"/>
        <v>300</v>
      </c>
      <c r="F40" s="408" t="e">
        <f>IF(OR(#REF!="", E40=""),"",(E40-#REF!*K40)^I40*(J40+E40*M40))</f>
        <v>#REF!</v>
      </c>
      <c r="G40" s="375">
        <f t="shared" si="22"/>
        <v>213.68429065071209</v>
      </c>
      <c r="H40" s="451">
        <f t="shared" si="23"/>
        <v>125.76982512573395</v>
      </c>
      <c r="I40" s="300">
        <v>0.50449999999999995</v>
      </c>
      <c r="J40" s="359">
        <v>7.0773192087114243</v>
      </c>
      <c r="K40" s="301">
        <v>0</v>
      </c>
      <c r="L40" s="301">
        <v>0.25</v>
      </c>
      <c r="M40" s="428">
        <v>0</v>
      </c>
      <c r="N40" s="350">
        <v>15</v>
      </c>
      <c r="O40" s="413">
        <f t="shared" ref="O40:P48" si="24">IF($L40*O$15&gt;$N40, $L40*O$15, $N40)</f>
        <v>15</v>
      </c>
      <c r="P40" s="351">
        <f t="shared" si="24"/>
        <v>15</v>
      </c>
      <c r="Q40" s="413">
        <f>IF($L40*Q$38&gt;$N40, $L40*Q$38, $N40)</f>
        <v>62.5</v>
      </c>
      <c r="R40" s="363">
        <v>760</v>
      </c>
      <c r="S40" s="363">
        <v>694</v>
      </c>
      <c r="T40" s="364">
        <v>553</v>
      </c>
      <c r="U40" s="365">
        <f t="shared" si="6"/>
        <v>27.746411586175977</v>
      </c>
      <c r="V40" s="365">
        <f t="shared" si="7"/>
        <v>27.746411586175977</v>
      </c>
      <c r="W40" s="366">
        <f t="shared" si="8"/>
        <v>57.002020868617791</v>
      </c>
      <c r="X40" s="367">
        <f t="shared" si="9"/>
        <v>201.01998736756497</v>
      </c>
      <c r="Y40" s="367">
        <f t="shared" si="14"/>
        <v>192.01477020896263</v>
      </c>
      <c r="Z40" s="367">
        <f t="shared" si="15"/>
        <v>171.22753823235956</v>
      </c>
      <c r="AB40" s="775"/>
      <c r="AG40" s="640">
        <f>IF('Flow charts'!$A$73=$O$15,X40, IF('Flow charts'!$A$73=$T$38,Z40,"NO DATA"))</f>
        <v>201.01998736756497</v>
      </c>
      <c r="AH40" s="640">
        <f>IF('Flow charts'!$A$73=$O$15,U40, IF('Flow charts'!$A$73=$T$38,W40,"NO DATA"))</f>
        <v>27.746411586175977</v>
      </c>
      <c r="AI40" s="640">
        <f t="shared" ref="AI40:AI48" si="25">AG40-AH40</f>
        <v>173.27357578138898</v>
      </c>
      <c r="AJ40" s="638"/>
      <c r="AK40" s="785" t="str">
        <f>T38</f>
        <v xml:space="preserve">@250 Pa with 10-4" flex </v>
      </c>
      <c r="AL40" s="638"/>
      <c r="AM40" s="638"/>
    </row>
    <row r="41" spans="1:39" ht="15" customHeight="1" x14ac:dyDescent="0.25">
      <c r="A41" s="885"/>
      <c r="B41" s="452">
        <v>47</v>
      </c>
      <c r="C41" s="250">
        <v>25</v>
      </c>
      <c r="D41" s="250">
        <v>300</v>
      </c>
      <c r="E41" s="430">
        <f t="shared" si="21"/>
        <v>300</v>
      </c>
      <c r="F41" s="408" t="e">
        <f>IF(OR(#REF!="", E41=""),"",(E41-#REF!*K41)^I41*(J41+E41*M41))</f>
        <v>#REF!</v>
      </c>
      <c r="G41" s="375">
        <f t="shared" si="22"/>
        <v>95.37338851711192</v>
      </c>
      <c r="H41" s="453">
        <f t="shared" si="23"/>
        <v>56.134657156678891</v>
      </c>
      <c r="I41" s="369">
        <v>0.5</v>
      </c>
      <c r="J41" s="359">
        <v>3.2409359420275905</v>
      </c>
      <c r="K41" s="301">
        <v>0</v>
      </c>
      <c r="L41" s="301">
        <v>0.1</v>
      </c>
      <c r="M41" s="428">
        <v>0</v>
      </c>
      <c r="N41" s="350">
        <v>10</v>
      </c>
      <c r="O41" s="421">
        <f t="shared" si="24"/>
        <v>10</v>
      </c>
      <c r="P41" s="361">
        <f t="shared" si="24"/>
        <v>10</v>
      </c>
      <c r="Q41" s="413">
        <f t="shared" ref="Q41:Q48" si="26">IF($L41*Q$38&gt;$N41, $L41*Q$38, $N41)</f>
        <v>25</v>
      </c>
      <c r="R41" s="352">
        <v>730</v>
      </c>
      <c r="S41" s="352">
        <v>650</v>
      </c>
      <c r="T41" s="353">
        <v>479</v>
      </c>
      <c r="U41" s="354">
        <f t="shared" si="6"/>
        <v>10.248739327510611</v>
      </c>
      <c r="V41" s="354">
        <f t="shared" si="7"/>
        <v>10.248739327510611</v>
      </c>
      <c r="W41" s="355">
        <f t="shared" si="8"/>
        <v>16.204679710137952</v>
      </c>
      <c r="X41" s="356">
        <f t="shared" si="9"/>
        <v>87.565267199033741</v>
      </c>
      <c r="Y41" s="454">
        <f t="shared" si="14"/>
        <v>82.627978053514497</v>
      </c>
      <c r="Z41" s="367">
        <f t="shared" si="15"/>
        <v>70.931346446943195</v>
      </c>
      <c r="AB41" s="775"/>
      <c r="AG41" s="640">
        <f>IF('Flow charts'!$A$73=$O$15,X41, IF('Flow charts'!$A$73=$T$38,Z41,"NO DATA"))</f>
        <v>87.565267199033741</v>
      </c>
      <c r="AH41" s="640">
        <f>IF('Flow charts'!$A$73=$O$15,U41, IF('Flow charts'!$A$73=$T$38,W41,"NO DATA"))</f>
        <v>10.248739327510611</v>
      </c>
      <c r="AI41" s="640">
        <f t="shared" si="25"/>
        <v>77.316527871523135</v>
      </c>
      <c r="AJ41" s="638"/>
      <c r="AK41" s="638"/>
      <c r="AL41" s="638"/>
      <c r="AM41" s="638"/>
    </row>
    <row r="42" spans="1:39" ht="15" customHeight="1" x14ac:dyDescent="0.25">
      <c r="A42" s="885"/>
      <c r="B42" s="431">
        <v>29</v>
      </c>
      <c r="C42" s="250">
        <v>25</v>
      </c>
      <c r="D42" s="250">
        <v>300</v>
      </c>
      <c r="E42" s="430">
        <f t="shared" si="21"/>
        <v>300</v>
      </c>
      <c r="F42" s="408" t="e">
        <f>IF(OR(#REF!="", E42=""),"",(E42-#REF!*K42)^I42*(J42+E42*M42))</f>
        <v>#REF!</v>
      </c>
      <c r="G42" s="375">
        <f t="shared" si="22"/>
        <v>35.428206286219186</v>
      </c>
      <c r="H42" s="453">
        <f t="shared" si="23"/>
        <v>20.852254957851137</v>
      </c>
      <c r="I42" s="369">
        <v>0.502</v>
      </c>
      <c r="J42" s="359">
        <v>1.1902499077349771</v>
      </c>
      <c r="K42" s="301">
        <v>0</v>
      </c>
      <c r="L42" s="301">
        <v>0.2</v>
      </c>
      <c r="M42" s="428">
        <v>0</v>
      </c>
      <c r="N42" s="350">
        <v>20</v>
      </c>
      <c r="O42" s="361">
        <f t="shared" si="24"/>
        <v>20</v>
      </c>
      <c r="P42" s="361">
        <f t="shared" si="24"/>
        <v>20</v>
      </c>
      <c r="Q42" s="413">
        <f t="shared" si="26"/>
        <v>50</v>
      </c>
      <c r="R42" s="363">
        <v>730</v>
      </c>
      <c r="S42" s="363">
        <v>690</v>
      </c>
      <c r="T42" s="371">
        <v>502.9747314453125</v>
      </c>
      <c r="U42" s="365">
        <f t="shared" si="6"/>
        <v>5.3549474623502169</v>
      </c>
      <c r="V42" s="365">
        <f t="shared" si="7"/>
        <v>5.3549474623502169</v>
      </c>
      <c r="W42" s="366">
        <f t="shared" si="8"/>
        <v>8.4824459040790625</v>
      </c>
      <c r="X42" s="374">
        <f t="shared" si="9"/>
        <v>32.58563827896009</v>
      </c>
      <c r="Y42" s="374">
        <f t="shared" si="14"/>
        <v>31.676734170059309</v>
      </c>
      <c r="Z42" s="367">
        <f t="shared" si="15"/>
        <v>27.02802627995445</v>
      </c>
      <c r="AB42" s="775"/>
      <c r="AG42" s="640">
        <f>IF('Flow charts'!$A$73=$O$15,X42, IF('Flow charts'!$A$73=$T$38,Z42,"NO DATA"))</f>
        <v>32.58563827896009</v>
      </c>
      <c r="AH42" s="637">
        <f>IF('Flow charts'!$A$73=$O$15,U42, IF('Flow charts'!$A$73=$T$38,W42,"NO DATA"))</f>
        <v>5.3549474623502169</v>
      </c>
      <c r="AI42" s="640">
        <f t="shared" si="25"/>
        <v>27.230690816609872</v>
      </c>
      <c r="AJ42" s="638"/>
      <c r="AK42" s="638"/>
      <c r="AL42" s="638"/>
      <c r="AM42" s="638"/>
    </row>
    <row r="43" spans="1:39" ht="15.75" customHeight="1" x14ac:dyDescent="0.25">
      <c r="A43" s="885"/>
      <c r="B43" s="431">
        <v>18</v>
      </c>
      <c r="C43" s="250">
        <v>25</v>
      </c>
      <c r="D43" s="250">
        <v>300</v>
      </c>
      <c r="E43" s="430">
        <f t="shared" si="21"/>
        <v>300</v>
      </c>
      <c r="F43" s="298" t="e">
        <f>IF(OR(#REF!="", E43=""),"",(E43-#REF!*K43)^I43*(J43+E43*M43))</f>
        <v>#REF!</v>
      </c>
      <c r="G43" s="375">
        <f t="shared" si="22"/>
        <v>13.371983886406072</v>
      </c>
      <c r="H43" s="455">
        <f t="shared" si="23"/>
        <v>7.8704525721382002</v>
      </c>
      <c r="I43" s="300">
        <v>0.499</v>
      </c>
      <c r="J43" s="301">
        <v>0.45700000000000002</v>
      </c>
      <c r="K43" s="301">
        <v>0</v>
      </c>
      <c r="L43" s="301">
        <v>0.25</v>
      </c>
      <c r="M43" s="428">
        <v>0</v>
      </c>
      <c r="N43" s="350">
        <v>25</v>
      </c>
      <c r="O43" s="361">
        <f t="shared" si="24"/>
        <v>25</v>
      </c>
      <c r="P43" s="361">
        <f t="shared" si="24"/>
        <v>25</v>
      </c>
      <c r="Q43" s="413">
        <f t="shared" si="26"/>
        <v>62.5</v>
      </c>
      <c r="R43" s="352">
        <v>730</v>
      </c>
      <c r="S43" s="352">
        <v>690</v>
      </c>
      <c r="T43" s="456">
        <v>502</v>
      </c>
      <c r="U43" s="354">
        <f t="shared" si="6"/>
        <v>2.2776566936762075</v>
      </c>
      <c r="V43" s="354">
        <f t="shared" si="7"/>
        <v>2.2776566936762075</v>
      </c>
      <c r="W43" s="355">
        <f t="shared" si="8"/>
        <v>3.5979931213435621</v>
      </c>
      <c r="X43" s="454">
        <f t="shared" si="9"/>
        <v>12.266320480978111</v>
      </c>
      <c r="Y43" s="454">
        <f t="shared" si="14"/>
        <v>11.926194734198138</v>
      </c>
      <c r="Z43" s="367">
        <f t="shared" si="15"/>
        <v>10.175771704412774</v>
      </c>
      <c r="AB43" s="775"/>
      <c r="AG43" s="640">
        <f>IF('Flow charts'!$A$73=$O$15,X43, IF('Flow charts'!$A$73=$T$38,Z43,"NO DATA"))</f>
        <v>12.266320480978111</v>
      </c>
      <c r="AH43" s="637">
        <f>IF('Flow charts'!$A$73=$O$15,U43, IF('Flow charts'!$A$73=$T$38,W43,"NO DATA"))</f>
        <v>2.2776566936762075</v>
      </c>
      <c r="AI43" s="640">
        <f t="shared" si="25"/>
        <v>9.9886637873019026</v>
      </c>
      <c r="AJ43" s="638"/>
      <c r="AK43" s="638"/>
      <c r="AL43" s="638"/>
      <c r="AM43" s="638"/>
    </row>
    <row r="44" spans="1:39" ht="15" customHeight="1" x14ac:dyDescent="0.25">
      <c r="A44" s="885"/>
      <c r="B44" s="457">
        <v>11</v>
      </c>
      <c r="C44" s="250">
        <v>25</v>
      </c>
      <c r="D44" s="250">
        <v>300</v>
      </c>
      <c r="E44" s="358">
        <f t="shared" si="21"/>
        <v>300</v>
      </c>
      <c r="F44" s="298" t="e">
        <f>IF(OR(#REF!="", E44=""),"",(E44-#REF!*K44)^I44*(J44+E44*M44))</f>
        <v>#REF!</v>
      </c>
      <c r="G44" s="375">
        <f t="shared" si="22"/>
        <v>5.4610691484432055</v>
      </c>
      <c r="H44" s="458">
        <f t="shared" si="23"/>
        <v>3.2142639484993598</v>
      </c>
      <c r="I44" s="369">
        <v>0.48</v>
      </c>
      <c r="J44" s="376">
        <v>0.20799999999999999</v>
      </c>
      <c r="K44" s="301">
        <v>0</v>
      </c>
      <c r="L44" s="301">
        <v>0.25</v>
      </c>
      <c r="M44" s="428">
        <v>0</v>
      </c>
      <c r="N44" s="350">
        <v>25</v>
      </c>
      <c r="O44" s="361">
        <f t="shared" si="24"/>
        <v>25</v>
      </c>
      <c r="P44" s="361">
        <f t="shared" si="24"/>
        <v>25</v>
      </c>
      <c r="Q44" s="413">
        <f t="shared" si="26"/>
        <v>62.5</v>
      </c>
      <c r="R44" s="363">
        <v>730</v>
      </c>
      <c r="S44" s="363">
        <v>690</v>
      </c>
      <c r="T44" s="371"/>
      <c r="U44" s="365">
        <f t="shared" si="6"/>
        <v>0.97515699216209595</v>
      </c>
      <c r="V44" s="365">
        <f t="shared" si="7"/>
        <v>0.97515699216209595</v>
      </c>
      <c r="W44" s="366">
        <f t="shared" si="8"/>
        <v>1.5138601021754183</v>
      </c>
      <c r="X44" s="374">
        <f t="shared" si="9"/>
        <v>4.9255905551350345</v>
      </c>
      <c r="Y44" s="374">
        <f t="shared" si="14"/>
        <v>4.7941420557592593</v>
      </c>
      <c r="Z44" s="367" t="s">
        <v>110</v>
      </c>
      <c r="AB44" s="775"/>
      <c r="AG44" s="637">
        <f>IF('Flow charts'!$A$73=$O$15,X44, IF('Flow charts'!$A$73=$T$38,Z44,"NO DATA"))</f>
        <v>4.9255905551350345</v>
      </c>
      <c r="AH44" s="637">
        <f>IF('Flow charts'!$A$73=$O$15,U44, IF('Flow charts'!$A$73=$T$38,W44,"NO DATA"))</f>
        <v>0.97515699216209595</v>
      </c>
      <c r="AI44" s="637">
        <f>AG44-AH44</f>
        <v>3.9504335629729388</v>
      </c>
      <c r="AJ44" s="638"/>
      <c r="AK44" s="638"/>
      <c r="AL44" s="638"/>
      <c r="AM44" s="638"/>
    </row>
    <row r="45" spans="1:39" ht="15" customHeight="1" x14ac:dyDescent="0.25">
      <c r="A45" s="885"/>
      <c r="B45" s="459">
        <v>7</v>
      </c>
      <c r="C45" s="250">
        <v>25</v>
      </c>
      <c r="D45" s="250">
        <v>250</v>
      </c>
      <c r="E45" s="323">
        <f t="shared" si="21"/>
        <v>250</v>
      </c>
      <c r="F45" s="372" t="e">
        <f>IF(OR(#REF!="", E45=""),"",(E45-#REF!*K45)^I45*(J45+E45*M45))</f>
        <v>#REF!</v>
      </c>
      <c r="G45" s="375">
        <f t="shared" si="22"/>
        <v>1.9288150541209017</v>
      </c>
      <c r="H45" s="458">
        <f t="shared" si="23"/>
        <v>1.1352576800004481</v>
      </c>
      <c r="I45" s="369">
        <v>0.5</v>
      </c>
      <c r="J45" s="301">
        <v>7.1800000000000003E-2</v>
      </c>
      <c r="K45" s="301">
        <v>0</v>
      </c>
      <c r="L45" s="301">
        <v>0.11</v>
      </c>
      <c r="M45" s="428">
        <v>0</v>
      </c>
      <c r="N45" s="350">
        <v>25</v>
      </c>
      <c r="O45" s="361">
        <f t="shared" si="24"/>
        <v>25</v>
      </c>
      <c r="P45" s="361">
        <f t="shared" si="24"/>
        <v>25</v>
      </c>
      <c r="Q45" s="413">
        <f t="shared" si="26"/>
        <v>27.5</v>
      </c>
      <c r="R45" s="363">
        <v>730</v>
      </c>
      <c r="S45" s="363">
        <v>690</v>
      </c>
      <c r="T45" s="371"/>
      <c r="U45" s="365">
        <f t="shared" si="6"/>
        <v>0.35899999999999999</v>
      </c>
      <c r="V45" s="365">
        <f t="shared" si="7"/>
        <v>0.35899999999999999</v>
      </c>
      <c r="W45" s="366">
        <f t="shared" si="8"/>
        <v>0.3765223764930844</v>
      </c>
      <c r="X45" s="374">
        <f t="shared" si="9"/>
        <v>1.9399291739648641</v>
      </c>
      <c r="Y45" s="374">
        <f t="shared" si="14"/>
        <v>1.886031707050547</v>
      </c>
      <c r="Z45" s="367" t="s">
        <v>110</v>
      </c>
      <c r="AB45" s="775"/>
      <c r="AG45" s="637">
        <f>IF('Flow charts'!$A$73=$O$15,X45, IF('Flow charts'!$A$73=$T$38,Z45,"NO DATA"))</f>
        <v>1.9399291739648641</v>
      </c>
      <c r="AH45" s="639">
        <f>IF('Flow charts'!$A$73=$O$15,U45, IF('Flow charts'!$A$73=$T$38,W45,"NO DATA"))</f>
        <v>0.35899999999999999</v>
      </c>
      <c r="AI45" s="637">
        <f>AG45-AH45</f>
        <v>1.5809291739648641</v>
      </c>
      <c r="AJ45" s="638"/>
      <c r="AK45" s="638"/>
      <c r="AL45" s="638"/>
      <c r="AM45" s="638"/>
    </row>
    <row r="46" spans="1:39" ht="15" customHeight="1" x14ac:dyDescent="0.25">
      <c r="A46" s="885"/>
      <c r="B46" s="357">
        <v>3</v>
      </c>
      <c r="C46" s="250">
        <v>250</v>
      </c>
      <c r="D46" s="250">
        <v>45</v>
      </c>
      <c r="E46" s="430" t="str">
        <f t="shared" si="21"/>
        <v>---</v>
      </c>
      <c r="F46" s="372" t="e">
        <f>IF(OR(#REF!="", E46=""),"",(E46-#REF!*K46)^I46*(J46+E46*M46))</f>
        <v>#REF!</v>
      </c>
      <c r="G46" s="375" t="str">
        <f t="shared" si="22"/>
        <v>---</v>
      </c>
      <c r="H46" s="458" t="str">
        <f t="shared" si="23"/>
        <v>---</v>
      </c>
      <c r="I46" s="300">
        <v>0.48499999999999999</v>
      </c>
      <c r="J46" s="460">
        <v>2.1600000000000001E-2</v>
      </c>
      <c r="K46" s="301">
        <v>0</v>
      </c>
      <c r="L46" s="301">
        <v>0.3</v>
      </c>
      <c r="M46" s="428">
        <v>0</v>
      </c>
      <c r="N46" s="350">
        <v>25</v>
      </c>
      <c r="O46" s="361">
        <f t="shared" si="24"/>
        <v>25</v>
      </c>
      <c r="P46" s="361">
        <f t="shared" si="24"/>
        <v>25</v>
      </c>
      <c r="Q46" s="413">
        <f t="shared" si="26"/>
        <v>75</v>
      </c>
      <c r="R46" s="363">
        <v>726</v>
      </c>
      <c r="S46" s="363">
        <v>676</v>
      </c>
      <c r="T46" s="364"/>
      <c r="U46" s="461">
        <f t="shared" ref="U46:U55" si="27">O46^$I46*$J46</f>
        <v>0.10290930740806853</v>
      </c>
      <c r="V46" s="461">
        <f t="shared" ref="V46:V55" si="28">P46^$I46*$J46</f>
        <v>0.10290930740806853</v>
      </c>
      <c r="W46" s="462">
        <f t="shared" ref="W46:W55" si="29">Q46^$I46*$J46</f>
        <v>0.17533090072042251</v>
      </c>
      <c r="X46" s="463">
        <f t="shared" ref="X46:X55" si="30">R46^$I46*$J46</f>
        <v>0.52723958824463835</v>
      </c>
      <c r="Y46" s="463">
        <f t="shared" ref="Y46:Y55" si="31">S46^$I46*$J46</f>
        <v>0.50930495178519897</v>
      </c>
      <c r="Z46" s="367" t="s">
        <v>110</v>
      </c>
      <c r="AA46" s="270">
        <v>1000726</v>
      </c>
      <c r="AB46" s="775"/>
      <c r="AG46" s="639">
        <f>IF('Flow charts'!$A$73=$O$15,X46, IF('Flow charts'!$A$73=$T$38,Z46,"NO DATA"))</f>
        <v>0.52723958824463835</v>
      </c>
      <c r="AH46" s="639">
        <f>IF('Flow charts'!$A$73=$O$15,U46, IF('Flow charts'!$A$73=$T$38,W46,"NO DATA"))</f>
        <v>0.10290930740806853</v>
      </c>
      <c r="AI46" s="639">
        <f t="shared" si="25"/>
        <v>0.42433028083656982</v>
      </c>
      <c r="AJ46" s="638"/>
      <c r="AK46" s="638"/>
      <c r="AL46" s="638"/>
      <c r="AM46" s="638"/>
    </row>
    <row r="47" spans="1:39" ht="15" customHeight="1" x14ac:dyDescent="0.25">
      <c r="A47" s="885"/>
      <c r="B47" s="357">
        <v>2</v>
      </c>
      <c r="C47" s="250">
        <v>25</v>
      </c>
      <c r="D47" s="250">
        <v>250</v>
      </c>
      <c r="E47" s="430">
        <f t="shared" si="21"/>
        <v>250</v>
      </c>
      <c r="F47" s="372" t="e">
        <f>IF(OR(#REF!="", E47=""),"",(E47-#REF!*K47)^I47*(J47+E47*M47))</f>
        <v>#REF!</v>
      </c>
      <c r="G47" s="375">
        <f t="shared" si="22"/>
        <v>0.20607138958442478</v>
      </c>
      <c r="H47" s="464">
        <f t="shared" si="23"/>
        <v>0.12128904072698021</v>
      </c>
      <c r="I47" s="369">
        <v>0.53</v>
      </c>
      <c r="J47" s="460">
        <v>6.4999999999999997E-3</v>
      </c>
      <c r="K47" s="301">
        <v>0</v>
      </c>
      <c r="L47" s="301">
        <v>0.3</v>
      </c>
      <c r="M47" s="428">
        <v>0</v>
      </c>
      <c r="N47" s="350">
        <v>25</v>
      </c>
      <c r="O47" s="361">
        <f t="shared" si="24"/>
        <v>25</v>
      </c>
      <c r="P47" s="361">
        <f t="shared" si="24"/>
        <v>25</v>
      </c>
      <c r="Q47" s="413">
        <f t="shared" si="26"/>
        <v>75</v>
      </c>
      <c r="R47" s="363">
        <v>727</v>
      </c>
      <c r="S47" s="363">
        <v>685</v>
      </c>
      <c r="T47" s="364"/>
      <c r="U47" s="461">
        <f t="shared" si="27"/>
        <v>3.5794933608697899E-2</v>
      </c>
      <c r="V47" s="461">
        <f t="shared" si="28"/>
        <v>3.5794933608697899E-2</v>
      </c>
      <c r="W47" s="462">
        <f t="shared" si="29"/>
        <v>6.407606396304022E-2</v>
      </c>
      <c r="X47" s="463">
        <f t="shared" si="30"/>
        <v>0.21356328593682727</v>
      </c>
      <c r="Y47" s="463">
        <f t="shared" si="31"/>
        <v>0.20693281206471659</v>
      </c>
      <c r="Z47" s="367" t="s">
        <v>110</v>
      </c>
      <c r="AA47" s="270">
        <v>1006308</v>
      </c>
      <c r="AB47" s="775" t="s">
        <v>94</v>
      </c>
      <c r="AG47" s="639">
        <f>IF('Flow charts'!$A$73=$O$15,X47, IF('Flow charts'!$A$73=$T$38,Z47,"NO DATA"))</f>
        <v>0.21356328593682727</v>
      </c>
      <c r="AH47" s="639">
        <f>IF('Flow charts'!$A$73=$O$15,U47, IF('Flow charts'!$A$73=$T$38,W47,"NO DATA"))</f>
        <v>3.5794933608697899E-2</v>
      </c>
      <c r="AI47" s="639">
        <f t="shared" si="25"/>
        <v>0.17776835232812938</v>
      </c>
      <c r="AJ47" s="638"/>
      <c r="AK47" s="638"/>
      <c r="AL47" s="638"/>
      <c r="AM47" s="638"/>
    </row>
    <row r="48" spans="1:39" ht="15" customHeight="1" thickBot="1" x14ac:dyDescent="0.3">
      <c r="A48" s="886"/>
      <c r="B48" s="377">
        <v>1</v>
      </c>
      <c r="C48" s="252">
        <v>10</v>
      </c>
      <c r="D48" s="252">
        <v>10</v>
      </c>
      <c r="E48" s="433" t="str">
        <f t="shared" si="21"/>
        <v>---</v>
      </c>
      <c r="F48" s="378" t="e">
        <f>IF(OR(#REF!="", E48=""),"",(E48-#REF!*K48)^I48*(J48+E48*M48))</f>
        <v>#REF!</v>
      </c>
      <c r="G48" s="375" t="str">
        <f t="shared" si="22"/>
        <v>---</v>
      </c>
      <c r="H48" s="455" t="str">
        <f t="shared" si="23"/>
        <v>---</v>
      </c>
      <c r="I48" s="380">
        <v>0.59279999999999999</v>
      </c>
      <c r="J48" s="465">
        <v>2.0436386114547761E-3</v>
      </c>
      <c r="K48" s="381">
        <v>0</v>
      </c>
      <c r="L48" s="381">
        <v>0.3</v>
      </c>
      <c r="M48" s="434">
        <v>0</v>
      </c>
      <c r="N48" s="382">
        <v>40</v>
      </c>
      <c r="O48" s="315">
        <f t="shared" si="24"/>
        <v>40</v>
      </c>
      <c r="P48" s="315">
        <f t="shared" si="24"/>
        <v>40</v>
      </c>
      <c r="Q48" s="315">
        <f t="shared" si="26"/>
        <v>75</v>
      </c>
      <c r="R48" s="321">
        <v>727</v>
      </c>
      <c r="S48" s="321">
        <v>685</v>
      </c>
      <c r="T48" s="466"/>
      <c r="U48" s="467">
        <f t="shared" si="27"/>
        <v>1.8201419627220106E-2</v>
      </c>
      <c r="V48" s="467">
        <f t="shared" si="28"/>
        <v>1.8201419627220106E-2</v>
      </c>
      <c r="W48" s="468">
        <f t="shared" si="29"/>
        <v>2.6420462532325717E-2</v>
      </c>
      <c r="X48" s="469">
        <f t="shared" si="30"/>
        <v>0.10155976754801681</v>
      </c>
      <c r="Y48" s="469">
        <f t="shared" si="31"/>
        <v>9.8039586350464961E-2</v>
      </c>
      <c r="Z48" s="469" t="s">
        <v>110</v>
      </c>
      <c r="AA48" s="270">
        <v>1006322</v>
      </c>
      <c r="AB48" s="775" t="s">
        <v>94</v>
      </c>
      <c r="AG48" s="639">
        <f>IF('Flow charts'!$A$73=$O$15,X48, IF('Flow charts'!$A$73=$T$38,Z48,"NO DATA"))</f>
        <v>0.10155976754801681</v>
      </c>
      <c r="AH48" s="639">
        <f>IF('Flow charts'!$A$73=$O$15,U48, IF('Flow charts'!$A$73=$T$38,W48,"NO DATA"))</f>
        <v>1.8201419627220106E-2</v>
      </c>
      <c r="AI48" s="639">
        <f t="shared" si="25"/>
        <v>8.3358347920796702E-2</v>
      </c>
      <c r="AJ48" s="638"/>
      <c r="AK48" s="638"/>
      <c r="AL48" s="638"/>
      <c r="AM48" s="638"/>
    </row>
    <row r="49" spans="1:50" ht="29.25" customHeight="1" thickBot="1" x14ac:dyDescent="0.3">
      <c r="A49" s="470"/>
      <c r="C49" s="471"/>
      <c r="D49" s="472"/>
      <c r="E49" s="473"/>
      <c r="G49" s="474"/>
      <c r="H49" s="474"/>
      <c r="I49" s="471"/>
      <c r="J49" s="475"/>
      <c r="K49" s="475"/>
      <c r="L49" s="475"/>
      <c r="M49" s="475"/>
      <c r="N49" s="476"/>
      <c r="O49" s="477">
        <v>250</v>
      </c>
      <c r="P49" s="478">
        <v>1000</v>
      </c>
      <c r="Q49" s="478">
        <v>4980</v>
      </c>
      <c r="R49" s="561">
        <f>O49</f>
        <v>250</v>
      </c>
      <c r="S49" s="561">
        <f>P49</f>
        <v>1000</v>
      </c>
      <c r="T49" s="561">
        <f>Q49</f>
        <v>4980</v>
      </c>
      <c r="U49" s="478">
        <f>O49</f>
        <v>250</v>
      </c>
      <c r="V49" s="478">
        <f>P49</f>
        <v>1000</v>
      </c>
      <c r="W49" s="478">
        <f>Q49</f>
        <v>4980</v>
      </c>
      <c r="X49" s="561">
        <f>O49</f>
        <v>250</v>
      </c>
      <c r="Y49" s="561">
        <f>P49</f>
        <v>1000</v>
      </c>
      <c r="Z49" s="561">
        <f>Q49</f>
        <v>4980</v>
      </c>
      <c r="AA49" s="765"/>
      <c r="AB49" s="775"/>
      <c r="AG49" s="638"/>
      <c r="AH49" s="638"/>
      <c r="AI49" s="638"/>
      <c r="AJ49" s="638"/>
      <c r="AK49" s="638"/>
      <c r="AL49" s="638"/>
      <c r="AM49" s="638"/>
    </row>
    <row r="50" spans="1:50" ht="15.75" customHeight="1" x14ac:dyDescent="0.25">
      <c r="A50" s="884">
        <v>450</v>
      </c>
      <c r="B50" s="479">
        <v>74</v>
      </c>
      <c r="C50" s="253">
        <v>251.5</v>
      </c>
      <c r="D50" s="247">
        <v>1735</v>
      </c>
      <c r="E50" s="387">
        <f>IF(OR(C50="",D50="", D50&lt;0),"---",        IF(AND(C50&gt;0, D50&gt;=N50,D50&gt;=ABS(C50)*L50),D50,"---"))</f>
        <v>1735</v>
      </c>
      <c r="F50" s="440" t="e">
        <f>IF(OR(#REF!="", E50=""),"",(E50-#REF!*K50)^I50*(J50+E50*M50))</f>
        <v>#REF!</v>
      </c>
      <c r="G50" s="375">
        <f t="shared" si="22"/>
        <v>518.08470707082938</v>
      </c>
      <c r="H50" s="388">
        <f t="shared" ref="H50:H59" si="32">IF(E50="---","---", (E50-ABS(C50)*K50)^I50*(J50+E50*M50))</f>
        <v>304.93314604546555</v>
      </c>
      <c r="I50" s="480">
        <v>0.50449999999999995</v>
      </c>
      <c r="J50" s="481">
        <v>7.0791000000000004</v>
      </c>
      <c r="K50" s="482">
        <v>0</v>
      </c>
      <c r="L50" s="482">
        <v>0.15</v>
      </c>
      <c r="M50" s="483">
        <v>0</v>
      </c>
      <c r="N50" s="484">
        <v>250</v>
      </c>
      <c r="O50" s="485">
        <f>IF($L50*O$49&gt;$N50, $L50*O$49, $N50)</f>
        <v>250</v>
      </c>
      <c r="P50" s="486">
        <f>IF($L50*P$49&gt;$N50, $L50*P$49, $N50)</f>
        <v>250</v>
      </c>
      <c r="Q50" s="487">
        <f>IF($L50*Q$49&gt;$N50, $L50*Q$49, $N50)</f>
        <v>747</v>
      </c>
      <c r="R50" s="295">
        <v>1520</v>
      </c>
      <c r="S50" s="295">
        <v>1480</v>
      </c>
      <c r="T50" s="488">
        <v>1480</v>
      </c>
      <c r="U50" s="343">
        <f t="shared" si="27"/>
        <v>114.74632405435122</v>
      </c>
      <c r="V50" s="343">
        <f t="shared" si="28"/>
        <v>114.74632405435122</v>
      </c>
      <c r="W50" s="489">
        <f t="shared" si="29"/>
        <v>199.3279915901669</v>
      </c>
      <c r="X50" s="344">
        <f t="shared" si="30"/>
        <v>285.24506362646304</v>
      </c>
      <c r="Y50" s="344">
        <f t="shared" si="31"/>
        <v>281.43304050307285</v>
      </c>
      <c r="Z50" s="344">
        <f t="shared" ref="Z50:Z55" si="33">T50^$I50*$J50</f>
        <v>281.43304050307285</v>
      </c>
      <c r="AB50" s="775"/>
      <c r="AG50" s="640">
        <f>IF('Flow charts'!$A$106=$O$49,X50, IF('Flow charts'!$A$106=$P$49,Y50, IF('Flow charts'!$A$106=$Q$49,Z50,"SELECT BP")))</f>
        <v>285.24506362646304</v>
      </c>
      <c r="AH50" s="640">
        <f>IF('Flow charts'!$A$106=$O$49,U50, IF('Flow charts'!$A$106=$P$49,V50, IF('Flow charts'!$A$106=$Q$49,W50,"SELECT BP")))</f>
        <v>114.74632405435122</v>
      </c>
      <c r="AI50" s="640">
        <f>AG50-AH50</f>
        <v>170.49873957211182</v>
      </c>
      <c r="AJ50" s="638"/>
      <c r="AK50" s="638"/>
      <c r="AL50" s="638"/>
      <c r="AM50" s="638"/>
    </row>
    <row r="51" spans="1:50" ht="15.75" customHeight="1" x14ac:dyDescent="0.25">
      <c r="A51" s="885"/>
      <c r="B51" s="490" t="s">
        <v>79</v>
      </c>
      <c r="C51" s="254">
        <v>-252.5</v>
      </c>
      <c r="D51" s="250">
        <v>1845</v>
      </c>
      <c r="E51" s="430">
        <f>IF(OR(C51="",D51="", D51&lt;0),"---",        IF(AND(C51&lt;0, D51&gt;=N51,D51&gt;=ABS(C51)*L51),D51,"---"))</f>
        <v>1845</v>
      </c>
      <c r="F51" s="408" t="e">
        <f>IF(OR(#REF!="", E51=""),"",(E51-#REF!*K51)^I51*(J51+E51*M51))</f>
        <v>#REF!</v>
      </c>
      <c r="G51" s="375">
        <f t="shared" si="22"/>
        <v>526.3940510481707</v>
      </c>
      <c r="H51" s="451">
        <f t="shared" si="32"/>
        <v>309.82384126577097</v>
      </c>
      <c r="I51" s="491">
        <v>0.50449999999999995</v>
      </c>
      <c r="J51" s="492">
        <v>6.9729999999999999</v>
      </c>
      <c r="K51" s="411">
        <v>0</v>
      </c>
      <c r="L51" s="411">
        <v>0.15</v>
      </c>
      <c r="M51" s="493">
        <v>0</v>
      </c>
      <c r="N51" s="494">
        <v>250</v>
      </c>
      <c r="O51" s="360">
        <f t="shared" ref="O51:Q59" si="34">IF($L51*O$49&gt;$N51, $L51*O$49, $N51)</f>
        <v>250</v>
      </c>
      <c r="P51" s="361">
        <f t="shared" si="34"/>
        <v>250</v>
      </c>
      <c r="Q51" s="362">
        <f t="shared" si="34"/>
        <v>747</v>
      </c>
      <c r="R51" s="363">
        <v>1520</v>
      </c>
      <c r="S51" s="363">
        <v>1480</v>
      </c>
      <c r="T51" s="364">
        <v>1480</v>
      </c>
      <c r="U51" s="365">
        <f t="shared" si="27"/>
        <v>113.02653128660296</v>
      </c>
      <c r="V51" s="365">
        <f t="shared" si="28"/>
        <v>113.02653128660296</v>
      </c>
      <c r="W51" s="366">
        <f t="shared" si="29"/>
        <v>196.34050731847745</v>
      </c>
      <c r="X51" s="367">
        <f t="shared" si="30"/>
        <v>280.96987310072279</v>
      </c>
      <c r="Y51" s="367">
        <f t="shared" si="31"/>
        <v>277.21498374481598</v>
      </c>
      <c r="Z51" s="374">
        <f t="shared" si="33"/>
        <v>277.21498374481598</v>
      </c>
      <c r="AB51" s="775"/>
      <c r="AE51" s="638"/>
      <c r="AF51" s="638"/>
      <c r="AG51" s="640">
        <f>IF('Flow charts'!$A$106=$O$49,X51, IF('Flow charts'!$A$106=$P$49,Y51, IF('Flow charts'!$A$106=$Q$49,Z51,"SELECT BP")))</f>
        <v>280.96987310072279</v>
      </c>
      <c r="AH51" s="640">
        <f>IF('Flow charts'!$A$106=$O$49,U51, IF('Flow charts'!$A$106=$P$49,V51, IF('Flow charts'!$A$106=$Q$49,W51,"SELECT BP")))</f>
        <v>113.02653128660296</v>
      </c>
      <c r="AI51" s="640">
        <f t="shared" ref="AI51:AI59" si="35">AG51-AH51</f>
        <v>167.94334181411983</v>
      </c>
      <c r="AJ51" s="638"/>
      <c r="AK51" s="638"/>
      <c r="AL51" s="638"/>
      <c r="AM51" s="638"/>
    </row>
    <row r="52" spans="1:50" ht="15" customHeight="1" x14ac:dyDescent="0.25">
      <c r="A52" s="885"/>
      <c r="B52" s="495">
        <v>47</v>
      </c>
      <c r="C52" s="254">
        <v>4985</v>
      </c>
      <c r="D52" s="250">
        <v>4985</v>
      </c>
      <c r="E52" s="430">
        <f t="shared" ref="E52:E59" si="36">IF(OR(C52="",D52="", D52&lt;0),"---",        IF(AND(D52&gt;=N52,D52&gt;=ABS(C52)*L52),D52,"---"))</f>
        <v>4985</v>
      </c>
      <c r="F52" s="408" t="e">
        <f>IF(OR(#REF!="", E52=""),"",(E52-#REF!*K52)^I52*(J52+E52*M52))</f>
        <v>#REF!</v>
      </c>
      <c r="G52" s="375">
        <f t="shared" si="22"/>
        <v>362.92599458740835</v>
      </c>
      <c r="H52" s="451">
        <f t="shared" si="32"/>
        <v>213.61017571222803</v>
      </c>
      <c r="I52" s="496">
        <v>0.48799999999999999</v>
      </c>
      <c r="J52" s="359">
        <v>3.3508990000000001</v>
      </c>
      <c r="K52" s="301">
        <v>0</v>
      </c>
      <c r="L52" s="301">
        <v>0.12</v>
      </c>
      <c r="M52" s="428">
        <v>0</v>
      </c>
      <c r="N52" s="350">
        <v>250</v>
      </c>
      <c r="O52" s="360">
        <f t="shared" si="34"/>
        <v>250</v>
      </c>
      <c r="P52" s="361">
        <f t="shared" si="34"/>
        <v>250</v>
      </c>
      <c r="Q52" s="362">
        <f t="shared" si="34"/>
        <v>597.6</v>
      </c>
      <c r="R52" s="363">
        <v>4985</v>
      </c>
      <c r="S52" s="363">
        <v>1280</v>
      </c>
      <c r="T52" s="364">
        <v>4985</v>
      </c>
      <c r="U52" s="365">
        <f t="shared" si="27"/>
        <v>49.585655881148448</v>
      </c>
      <c r="V52" s="365">
        <f t="shared" si="28"/>
        <v>49.585655881148448</v>
      </c>
      <c r="W52" s="366">
        <f t="shared" si="29"/>
        <v>75.866439959479706</v>
      </c>
      <c r="X52" s="374">
        <f t="shared" si="30"/>
        <v>213.61017571222803</v>
      </c>
      <c r="Y52" s="374">
        <f t="shared" si="31"/>
        <v>110.02206782012229</v>
      </c>
      <c r="Z52" s="374">
        <f t="shared" si="33"/>
        <v>213.61017571222803</v>
      </c>
      <c r="AB52" s="775"/>
      <c r="AE52" s="638"/>
      <c r="AF52" s="638"/>
      <c r="AG52" s="640">
        <f>IF('Flow charts'!$A$106=$O$49,X52, IF('Flow charts'!$A$106=$P$49,Y52, IF('Flow charts'!$A$106=$Q$49,Z52,"SELECT BP")))</f>
        <v>213.61017571222803</v>
      </c>
      <c r="AH52" s="640">
        <f>IF('Flow charts'!$A$106=$O$49,U52, IF('Flow charts'!$A$106=$P$49,V52, IF('Flow charts'!$A$106=$Q$49,W52,"SELECT BP")))</f>
        <v>49.585655881148448</v>
      </c>
      <c r="AI52" s="640">
        <f t="shared" si="35"/>
        <v>164.02451983107957</v>
      </c>
      <c r="AJ52" s="638"/>
      <c r="AK52" s="638"/>
      <c r="AL52" s="638"/>
      <c r="AM52" s="638"/>
    </row>
    <row r="53" spans="1:50" ht="15" customHeight="1" x14ac:dyDescent="0.25">
      <c r="A53" s="885"/>
      <c r="B53" s="459">
        <v>29</v>
      </c>
      <c r="C53" s="254">
        <v>250</v>
      </c>
      <c r="D53" s="250">
        <v>300</v>
      </c>
      <c r="E53" s="430">
        <f t="shared" si="36"/>
        <v>300</v>
      </c>
      <c r="F53" s="408" t="e">
        <f>IF(OR(#REF!="", E53=""),"",(E53-#REF!*K53)^I53*(J53+E53*M53))</f>
        <v>#REF!</v>
      </c>
      <c r="G53" s="375">
        <f t="shared" si="22"/>
        <v>33.121399681276984</v>
      </c>
      <c r="H53" s="451">
        <f t="shared" si="32"/>
        <v>19.494519850516042</v>
      </c>
      <c r="I53" s="496">
        <v>0.49890000000000001</v>
      </c>
      <c r="J53" s="497">
        <v>1.1326004999999999</v>
      </c>
      <c r="K53" s="301">
        <v>0</v>
      </c>
      <c r="L53" s="301">
        <v>0.15</v>
      </c>
      <c r="M53" s="428">
        <v>0</v>
      </c>
      <c r="N53" s="350">
        <v>250</v>
      </c>
      <c r="O53" s="360">
        <f t="shared" si="34"/>
        <v>250</v>
      </c>
      <c r="P53" s="361">
        <f t="shared" si="34"/>
        <v>250</v>
      </c>
      <c r="Q53" s="362">
        <f t="shared" si="34"/>
        <v>747</v>
      </c>
      <c r="R53" s="363">
        <v>4985</v>
      </c>
      <c r="S53" s="363">
        <v>1355</v>
      </c>
      <c r="T53" s="364">
        <v>4985</v>
      </c>
      <c r="U53" s="365">
        <f t="shared" si="27"/>
        <v>17.799549857629788</v>
      </c>
      <c r="V53" s="365">
        <f t="shared" si="28"/>
        <v>17.799549857629788</v>
      </c>
      <c r="W53" s="366">
        <f t="shared" si="29"/>
        <v>30.730979100438645</v>
      </c>
      <c r="X53" s="374">
        <f t="shared" si="30"/>
        <v>79.221287938583558</v>
      </c>
      <c r="Y53" s="374">
        <f t="shared" si="31"/>
        <v>41.361974582205249</v>
      </c>
      <c r="Z53" s="374">
        <f t="shared" si="33"/>
        <v>79.221287938583558</v>
      </c>
      <c r="AB53" s="775"/>
      <c r="AE53" s="638"/>
      <c r="AF53" s="638"/>
      <c r="AG53" s="640">
        <f>IF('Flow charts'!$A$106=$O$49,X53, IF('Flow charts'!$A$106=$P$49,Y53, IF('Flow charts'!$A$106=$Q$49,Z53,"SELECT BP")))</f>
        <v>79.221287938583558</v>
      </c>
      <c r="AH53" s="640">
        <f>IF('Flow charts'!$A$106=$O$49,U53, IF('Flow charts'!$A$106=$P$49,V53, IF('Flow charts'!$A$106=$Q$49,W53,"SELECT BP")))</f>
        <v>17.799549857629788</v>
      </c>
      <c r="AI53" s="640">
        <f t="shared" si="35"/>
        <v>61.421738080953773</v>
      </c>
      <c r="AJ53" s="638"/>
      <c r="AK53" s="638"/>
      <c r="AL53" s="638"/>
    </row>
    <row r="54" spans="1:50" ht="15" customHeight="1" x14ac:dyDescent="0.25">
      <c r="A54" s="885"/>
      <c r="B54" s="498">
        <v>18</v>
      </c>
      <c r="C54" s="254">
        <v>250</v>
      </c>
      <c r="D54" s="250">
        <v>300</v>
      </c>
      <c r="E54" s="358">
        <f t="shared" si="36"/>
        <v>300</v>
      </c>
      <c r="F54" s="298" t="e">
        <f>IF(OR(#REF!="", E54=""),"",(E54-#REF!*K54)^I54*(J54+E54*M54))</f>
        <v>#REF!</v>
      </c>
      <c r="G54" s="375">
        <f t="shared" si="22"/>
        <v>12.626950429096926</v>
      </c>
      <c r="H54" s="458">
        <f t="shared" si="32"/>
        <v>7.4319424348078034</v>
      </c>
      <c r="I54" s="496">
        <v>0.49930000000000002</v>
      </c>
      <c r="J54" s="376">
        <v>0.43080000000000002</v>
      </c>
      <c r="K54" s="301">
        <v>0</v>
      </c>
      <c r="L54" s="301">
        <v>0.15</v>
      </c>
      <c r="M54" s="428">
        <v>0</v>
      </c>
      <c r="N54" s="350">
        <v>250</v>
      </c>
      <c r="O54" s="360">
        <f t="shared" si="34"/>
        <v>250</v>
      </c>
      <c r="P54" s="361">
        <f t="shared" si="34"/>
        <v>250</v>
      </c>
      <c r="Q54" s="362">
        <f t="shared" si="34"/>
        <v>747</v>
      </c>
      <c r="R54" s="363">
        <v>4985</v>
      </c>
      <c r="S54" s="363">
        <v>4985</v>
      </c>
      <c r="T54" s="364">
        <v>4985</v>
      </c>
      <c r="U54" s="461">
        <f t="shared" si="27"/>
        <v>6.7852701114897176</v>
      </c>
      <c r="V54" s="461">
        <f t="shared" si="28"/>
        <v>6.7852701114897176</v>
      </c>
      <c r="W54" s="462">
        <f t="shared" si="29"/>
        <v>11.719920645180547</v>
      </c>
      <c r="X54" s="374">
        <f t="shared" si="30"/>
        <v>30.235691835969899</v>
      </c>
      <c r="Y54" s="374">
        <f t="shared" si="31"/>
        <v>30.235691835969899</v>
      </c>
      <c r="Z54" s="374">
        <f t="shared" si="33"/>
        <v>30.235691835969899</v>
      </c>
      <c r="AB54" s="775"/>
      <c r="AE54" s="638"/>
      <c r="AF54" s="638"/>
      <c r="AG54" s="640">
        <f>IF('Flow charts'!$A$106=$O$49,X54, IF('Flow charts'!$A$106=$P$49,Y54, IF('Flow charts'!$A$106=$Q$49,Z54,"SELECT BP")))</f>
        <v>30.235691835969899</v>
      </c>
      <c r="AH54" s="637">
        <f>IF('Flow charts'!$A$106=$O$49,U54, IF('Flow charts'!$A$106=$P$49,V54, IF('Flow charts'!$A$106=$Q$49,W54,"SELECT BP")))</f>
        <v>6.7852701114897176</v>
      </c>
      <c r="AI54" s="640">
        <f t="shared" si="35"/>
        <v>23.450421724480179</v>
      </c>
      <c r="AJ54" s="638"/>
      <c r="AK54" s="638"/>
      <c r="AL54" s="638"/>
    </row>
    <row r="55" spans="1:50" ht="15" customHeight="1" x14ac:dyDescent="0.25">
      <c r="A55" s="885"/>
      <c r="B55" s="499">
        <v>11</v>
      </c>
      <c r="C55" s="254">
        <v>250</v>
      </c>
      <c r="D55" s="250">
        <v>300</v>
      </c>
      <c r="E55" s="430">
        <f t="shared" si="36"/>
        <v>300</v>
      </c>
      <c r="F55" s="298" t="e">
        <f>IF(OR(#REF!="", E55=""),"",(E55-#REF!*K55)^I55*(J55+E55*M55))</f>
        <v>#REF!</v>
      </c>
      <c r="G55" s="375">
        <f t="shared" si="22"/>
        <v>5.0092665990775425</v>
      </c>
      <c r="H55" s="458">
        <f t="shared" si="32"/>
        <v>2.9483430076007933</v>
      </c>
      <c r="I55" s="496">
        <v>0.50219999999999998</v>
      </c>
      <c r="J55" s="376">
        <v>0.1681</v>
      </c>
      <c r="K55" s="301">
        <v>0</v>
      </c>
      <c r="L55" s="301">
        <v>0.14000000000000001</v>
      </c>
      <c r="M55" s="428">
        <v>0</v>
      </c>
      <c r="N55" s="350">
        <v>250</v>
      </c>
      <c r="O55" s="360">
        <f t="shared" si="34"/>
        <v>250</v>
      </c>
      <c r="P55" s="361">
        <f t="shared" si="34"/>
        <v>250</v>
      </c>
      <c r="Q55" s="362">
        <f t="shared" si="34"/>
        <v>697.2</v>
      </c>
      <c r="R55" s="363">
        <v>4985</v>
      </c>
      <c r="S55" s="363">
        <v>4985</v>
      </c>
      <c r="T55" s="364">
        <v>4985</v>
      </c>
      <c r="U55" s="461">
        <f t="shared" si="27"/>
        <v>2.6903772741228802</v>
      </c>
      <c r="V55" s="461">
        <f t="shared" si="28"/>
        <v>2.6903772741228802</v>
      </c>
      <c r="W55" s="462">
        <f t="shared" si="29"/>
        <v>4.5029983610251598</v>
      </c>
      <c r="X55" s="374">
        <f t="shared" si="30"/>
        <v>12.093030775859926</v>
      </c>
      <c r="Y55" s="374">
        <f t="shared" si="31"/>
        <v>12.093030775859926</v>
      </c>
      <c r="Z55" s="374">
        <f t="shared" si="33"/>
        <v>12.093030775859926</v>
      </c>
      <c r="AB55" s="775" t="s">
        <v>94</v>
      </c>
      <c r="AE55" s="638"/>
      <c r="AF55" s="638"/>
      <c r="AG55" s="640">
        <f>IF('Flow charts'!$A$106=$O$49,X55, IF('Flow charts'!$A$106=$P$49,Y55, IF('Flow charts'!$A$106=$Q$49,Z55,"SELECT BP")))</f>
        <v>12.093030775859926</v>
      </c>
      <c r="AH55" s="637">
        <f>IF('Flow charts'!$A$106=$O$49,U55, IF('Flow charts'!$A$106=$P$49,V55, IF('Flow charts'!$A$106=$Q$49,W55,"SELECT BP")))</f>
        <v>2.6903772741228802</v>
      </c>
      <c r="AI55" s="637">
        <f t="shared" si="35"/>
        <v>9.4026535017370456</v>
      </c>
      <c r="AJ55" s="638"/>
      <c r="AK55" s="638"/>
      <c r="AL55" s="638"/>
    </row>
    <row r="56" spans="1:50" ht="15" customHeight="1" x14ac:dyDescent="0.25">
      <c r="A56" s="885"/>
      <c r="B56" s="498">
        <v>7</v>
      </c>
      <c r="C56" s="254">
        <v>-251</v>
      </c>
      <c r="D56" s="250">
        <v>890</v>
      </c>
      <c r="E56" s="430">
        <f t="shared" si="36"/>
        <v>890</v>
      </c>
      <c r="F56" s="372" t="e">
        <f>IF(OR(#REF!="", E56=""),"",(E56-#REF!*K56)^I56*(J56+E56*M56))</f>
        <v>#REF!</v>
      </c>
      <c r="G56" s="375">
        <f t="shared" si="22"/>
        <v>3.3913080286325443</v>
      </c>
      <c r="H56" s="458">
        <f t="shared" si="32"/>
        <v>1.9960485462443669</v>
      </c>
      <c r="I56" s="496">
        <v>0.50090000000000001</v>
      </c>
      <c r="J56" s="460">
        <v>6.6500000000000004E-2</v>
      </c>
      <c r="K56" s="301">
        <v>0</v>
      </c>
      <c r="L56" s="301">
        <v>0.08</v>
      </c>
      <c r="M56" s="428">
        <v>0</v>
      </c>
      <c r="N56" s="350">
        <v>250</v>
      </c>
      <c r="O56" s="360">
        <f t="shared" si="34"/>
        <v>250</v>
      </c>
      <c r="P56" s="361">
        <f t="shared" si="34"/>
        <v>250</v>
      </c>
      <c r="Q56" s="362">
        <f t="shared" si="34"/>
        <v>398.40000000000003</v>
      </c>
      <c r="R56" s="363">
        <v>4985</v>
      </c>
      <c r="S56" s="363">
        <v>4985</v>
      </c>
      <c r="T56" s="364">
        <v>4985</v>
      </c>
      <c r="U56" s="461">
        <f t="shared" ref="U56:Z59" si="37">O56^$I56*$J56</f>
        <v>1.0566953483872743</v>
      </c>
      <c r="V56" s="461">
        <f t="shared" si="37"/>
        <v>1.0566953483872743</v>
      </c>
      <c r="W56" s="462">
        <f t="shared" si="37"/>
        <v>1.3345092782043442</v>
      </c>
      <c r="X56" s="463">
        <f t="shared" si="37"/>
        <v>4.7313178536524862</v>
      </c>
      <c r="Y56" s="463">
        <f t="shared" si="37"/>
        <v>4.7313178536524862</v>
      </c>
      <c r="Z56" s="463">
        <f t="shared" si="37"/>
        <v>4.7313178536524862</v>
      </c>
      <c r="AB56" s="775" t="s">
        <v>94</v>
      </c>
      <c r="AE56" s="638"/>
      <c r="AF56" s="638"/>
      <c r="AG56" s="637">
        <f>IF('Flow charts'!$A$106=$O$49,X56, IF('Flow charts'!$A$106=$P$49,Y56, IF('Flow charts'!$A$106=$Q$49,Z56,"SELECT BP")))</f>
        <v>4.7313178536524862</v>
      </c>
      <c r="AH56" s="637">
        <f>IF('Flow charts'!$A$106=$O$49,U56, IF('Flow charts'!$A$106=$P$49,V56, IF('Flow charts'!$A$106=$Q$49,W56,"SELECT BP")))</f>
        <v>1.0566953483872743</v>
      </c>
      <c r="AI56" s="637">
        <f t="shared" si="35"/>
        <v>3.6746225052652122</v>
      </c>
      <c r="AJ56" s="638"/>
      <c r="AK56" s="638"/>
      <c r="AL56" s="638"/>
    </row>
    <row r="57" spans="1:50" ht="15" customHeight="1" x14ac:dyDescent="0.25">
      <c r="A57" s="885"/>
      <c r="B57" s="498">
        <v>3</v>
      </c>
      <c r="C57" s="254">
        <v>250</v>
      </c>
      <c r="D57" s="250">
        <v>250</v>
      </c>
      <c r="E57" s="430">
        <f t="shared" si="36"/>
        <v>250</v>
      </c>
      <c r="F57" s="372" t="e">
        <f>IF(OR(#REF!="", E57=""),"",(E57-#REF!*K57)^I57*(J57+E57*M57))</f>
        <v>#REF!</v>
      </c>
      <c r="G57" s="375">
        <f t="shared" si="22"/>
        <v>0.49949827140176123</v>
      </c>
      <c r="H57" s="458">
        <f t="shared" si="32"/>
        <v>0.29399358302615847</v>
      </c>
      <c r="I57" s="496">
        <v>0.55400000000000005</v>
      </c>
      <c r="J57" s="460">
        <v>1.38E-2</v>
      </c>
      <c r="K57" s="301">
        <v>0</v>
      </c>
      <c r="L57" s="301">
        <v>0.1</v>
      </c>
      <c r="M57" s="428">
        <v>0</v>
      </c>
      <c r="N57" s="350">
        <v>250</v>
      </c>
      <c r="O57" s="360">
        <f t="shared" si="34"/>
        <v>250</v>
      </c>
      <c r="P57" s="361">
        <f t="shared" si="34"/>
        <v>250</v>
      </c>
      <c r="Q57" s="362">
        <f t="shared" si="34"/>
        <v>498</v>
      </c>
      <c r="R57" s="363">
        <v>3500</v>
      </c>
      <c r="S57" s="363">
        <v>3500</v>
      </c>
      <c r="T57" s="364">
        <v>3750</v>
      </c>
      <c r="U57" s="500">
        <f t="shared" si="37"/>
        <v>0.29399358302615847</v>
      </c>
      <c r="V57" s="500">
        <f t="shared" si="37"/>
        <v>0.29399358302615847</v>
      </c>
      <c r="W57" s="501">
        <f t="shared" si="37"/>
        <v>0.43066952594122826</v>
      </c>
      <c r="X57" s="463">
        <f t="shared" si="37"/>
        <v>1.268506751262104</v>
      </c>
      <c r="Y57" s="463">
        <f t="shared" si="37"/>
        <v>1.268506751262104</v>
      </c>
      <c r="Z57" s="463">
        <f t="shared" si="37"/>
        <v>1.3179301966237609</v>
      </c>
      <c r="AB57" s="775" t="s">
        <v>94</v>
      </c>
      <c r="AE57" s="638"/>
      <c r="AF57" s="638"/>
      <c r="AG57" s="637">
        <f>IF('Flow charts'!$A$106=$O$49,X57, IF('Flow charts'!$A$106=$P$49,Y57, IF('Flow charts'!$A$106=$Q$49,Z57,"SELECT BP")))</f>
        <v>1.268506751262104</v>
      </c>
      <c r="AH57" s="639">
        <f>IF('Flow charts'!$A$106=$O$49,U57, IF('Flow charts'!$A$106=$P$49,V57, IF('Flow charts'!$A$106=$Q$49,W57,"SELECT BP")))</f>
        <v>0.29399358302615847</v>
      </c>
      <c r="AI57" s="639">
        <f t="shared" si="35"/>
        <v>0.97451316823594558</v>
      </c>
      <c r="AJ57" s="638"/>
      <c r="AK57" s="638"/>
      <c r="AL57" s="638"/>
    </row>
    <row r="58" spans="1:50" ht="15" customHeight="1" x14ac:dyDescent="0.25">
      <c r="A58" s="885"/>
      <c r="B58" s="498">
        <v>2</v>
      </c>
      <c r="C58" s="254">
        <v>250</v>
      </c>
      <c r="D58" s="250">
        <v>250</v>
      </c>
      <c r="E58" s="430" t="str">
        <f t="shared" si="36"/>
        <v>---</v>
      </c>
      <c r="F58" s="372" t="e">
        <f>IF(OR(#REF!="", E58=""),"",(E58-#REF!*K58)^I58*(J58+E58*M58))</f>
        <v>#REF!</v>
      </c>
      <c r="G58" s="375" t="str">
        <f t="shared" si="22"/>
        <v>---</v>
      </c>
      <c r="H58" s="458" t="str">
        <f t="shared" si="32"/>
        <v>---</v>
      </c>
      <c r="I58" s="369">
        <v>0.53</v>
      </c>
      <c r="J58" s="460">
        <v>6.4999999999999997E-3</v>
      </c>
      <c r="K58" s="301">
        <v>0</v>
      </c>
      <c r="L58" s="301">
        <v>0.12</v>
      </c>
      <c r="M58" s="428">
        <v>0</v>
      </c>
      <c r="N58" s="350">
        <v>350</v>
      </c>
      <c r="O58" s="360">
        <f t="shared" si="34"/>
        <v>350</v>
      </c>
      <c r="P58" s="361">
        <f t="shared" si="34"/>
        <v>350</v>
      </c>
      <c r="Q58" s="362">
        <f t="shared" si="34"/>
        <v>597.6</v>
      </c>
      <c r="R58" s="363">
        <v>3500</v>
      </c>
      <c r="S58" s="363">
        <v>3500</v>
      </c>
      <c r="T58" s="364">
        <v>3500</v>
      </c>
      <c r="U58" s="500">
        <f t="shared" si="37"/>
        <v>0.14496708965716193</v>
      </c>
      <c r="V58" s="500">
        <f t="shared" si="37"/>
        <v>0.14496708965716193</v>
      </c>
      <c r="W58" s="501">
        <f t="shared" si="37"/>
        <v>0.19249123935064485</v>
      </c>
      <c r="X58" s="463">
        <f t="shared" si="37"/>
        <v>0.49121251162837154</v>
      </c>
      <c r="Y58" s="463">
        <f t="shared" si="37"/>
        <v>0.49121251162837154</v>
      </c>
      <c r="Z58" s="463">
        <f t="shared" si="37"/>
        <v>0.49121251162837154</v>
      </c>
      <c r="AB58" s="775" t="s">
        <v>94</v>
      </c>
      <c r="AC58" s="638"/>
      <c r="AD58" s="638"/>
      <c r="AE58" s="638"/>
      <c r="AF58" s="638"/>
      <c r="AG58" s="639">
        <f>IF('Flow charts'!$A$106=$O$49,X58, IF('Flow charts'!$A$106=$P$49,Y58, IF('Flow charts'!$A$106=$Q$49,Z58,"SELECT BP")))</f>
        <v>0.49121251162837154</v>
      </c>
      <c r="AH58" s="639">
        <f>IF('Flow charts'!$A$106=$O$49,U58, IF('Flow charts'!$A$106=$P$49,V58, IF('Flow charts'!$A$106=$Q$49,W58,"SELECT BP")))</f>
        <v>0.14496708965716193</v>
      </c>
      <c r="AI58" s="639">
        <f t="shared" si="35"/>
        <v>0.34624542197120961</v>
      </c>
      <c r="AJ58" s="638"/>
      <c r="AK58" s="638"/>
      <c r="AL58" s="638"/>
      <c r="AM58" s="638"/>
      <c r="AN58" s="638"/>
    </row>
    <row r="59" spans="1:50" ht="15.75" customHeight="1" thickBot="1" x14ac:dyDescent="0.3">
      <c r="A59" s="886"/>
      <c r="B59" s="502">
        <v>1</v>
      </c>
      <c r="C59" s="255">
        <v>100</v>
      </c>
      <c r="D59" s="252">
        <v>100</v>
      </c>
      <c r="E59" s="433" t="str">
        <f t="shared" si="36"/>
        <v>---</v>
      </c>
      <c r="F59" s="378" t="e">
        <f>IF(OR(#REF!="", E59=""),"",(E59-#REF!*K59)^I59*(J59+E59*M59))</f>
        <v>#REF!</v>
      </c>
      <c r="G59" s="375" t="str">
        <f t="shared" si="22"/>
        <v>---</v>
      </c>
      <c r="H59" s="503" t="str">
        <f t="shared" si="32"/>
        <v>---</v>
      </c>
      <c r="I59" s="380">
        <v>0.56000000000000005</v>
      </c>
      <c r="J59" s="504">
        <v>2.0400000000000001E-3</v>
      </c>
      <c r="K59" s="381">
        <v>0</v>
      </c>
      <c r="L59" s="381">
        <v>0.12</v>
      </c>
      <c r="M59" s="434">
        <v>0</v>
      </c>
      <c r="N59" s="382">
        <v>350</v>
      </c>
      <c r="O59" s="314">
        <f t="shared" si="34"/>
        <v>350</v>
      </c>
      <c r="P59" s="315">
        <f t="shared" si="34"/>
        <v>350</v>
      </c>
      <c r="Q59" s="315">
        <f t="shared" si="34"/>
        <v>597.6</v>
      </c>
      <c r="R59" s="321">
        <v>3500</v>
      </c>
      <c r="S59" s="321">
        <v>3500</v>
      </c>
      <c r="T59" s="321">
        <v>3500</v>
      </c>
      <c r="U59" s="505">
        <f t="shared" si="37"/>
        <v>5.4238575173765985E-2</v>
      </c>
      <c r="V59" s="505">
        <f t="shared" si="37"/>
        <v>5.4238575173765985E-2</v>
      </c>
      <c r="W59" s="505">
        <f t="shared" si="37"/>
        <v>7.3184666339999857E-2</v>
      </c>
      <c r="X59" s="469">
        <f t="shared" si="37"/>
        <v>0.19692836367592872</v>
      </c>
      <c r="Y59" s="469">
        <f t="shared" si="37"/>
        <v>0.19692836367592872</v>
      </c>
      <c r="Z59" s="469">
        <f t="shared" si="37"/>
        <v>0.19692836367592872</v>
      </c>
      <c r="AB59" s="775" t="s">
        <v>94</v>
      </c>
      <c r="AC59" s="638"/>
      <c r="AD59" s="638"/>
      <c r="AE59" s="638"/>
      <c r="AF59" s="638"/>
      <c r="AG59" s="639">
        <f>IF('Flow charts'!$A$106=$O$49,X59, IF('Flow charts'!$A$106=$P$49,Y59, IF('Flow charts'!$A$106=$Q$49,Z59,"SELECT BP")))</f>
        <v>0.19692836367592872</v>
      </c>
      <c r="AH59" s="639">
        <f>IF('Flow charts'!$A$106=$O$49,U59, IF('Flow charts'!$A$106=$P$49,V59, IF('Flow charts'!$A$106=$Q$49,W59,"SELECT BP")))</f>
        <v>5.4238575173765985E-2</v>
      </c>
      <c r="AI59" s="639">
        <f t="shared" si="35"/>
        <v>0.14268978850216274</v>
      </c>
      <c r="AJ59" s="638"/>
      <c r="AK59" s="638"/>
      <c r="AL59" s="638"/>
    </row>
    <row r="60" spans="1:50" ht="15.75" customHeight="1" x14ac:dyDescent="0.25">
      <c r="A60" s="800"/>
      <c r="B60" s="459"/>
      <c r="C60" s="917"/>
      <c r="D60" s="919"/>
      <c r="E60" s="921"/>
      <c r="F60" s="819"/>
      <c r="G60" s="881"/>
      <c r="H60" s="821"/>
      <c r="I60" s="923"/>
      <c r="J60" s="925"/>
      <c r="K60" s="927"/>
      <c r="L60" s="927"/>
      <c r="M60" s="929"/>
      <c r="N60" s="921"/>
      <c r="O60" s="907" t="s">
        <v>74</v>
      </c>
      <c r="P60" s="908"/>
      <c r="Q60" s="908"/>
      <c r="R60" s="908"/>
      <c r="S60" s="909" t="s">
        <v>77</v>
      </c>
      <c r="T60" s="910"/>
      <c r="U60" s="910"/>
      <c r="V60" s="911"/>
      <c r="W60" s="907" t="s">
        <v>75</v>
      </c>
      <c r="X60" s="908"/>
      <c r="Y60" s="908"/>
      <c r="Z60" s="912"/>
      <c r="AA60" s="909" t="s">
        <v>76</v>
      </c>
      <c r="AB60" s="910"/>
      <c r="AC60" s="910"/>
      <c r="AD60" s="911"/>
      <c r="AE60" s="638"/>
      <c r="AF60" s="638"/>
      <c r="AG60" s="639"/>
      <c r="AH60" s="639"/>
      <c r="AI60" s="639"/>
      <c r="AJ60" s="638"/>
      <c r="AK60" s="638"/>
      <c r="AL60" s="638"/>
      <c r="AW60" s="775"/>
      <c r="AX60" s="775"/>
    </row>
    <row r="61" spans="1:50" ht="31.5" customHeight="1" thickBot="1" x14ac:dyDescent="0.3">
      <c r="C61" s="918"/>
      <c r="D61" s="920"/>
      <c r="E61" s="922"/>
      <c r="F61" s="675"/>
      <c r="G61" s="882"/>
      <c r="H61" s="822"/>
      <c r="I61" s="924"/>
      <c r="J61" s="926"/>
      <c r="K61" s="928"/>
      <c r="L61" s="928"/>
      <c r="M61" s="930"/>
      <c r="N61" s="922"/>
      <c r="O61" s="478">
        <v>0</v>
      </c>
      <c r="P61" s="478">
        <v>30</v>
      </c>
      <c r="Q61" s="478">
        <v>50</v>
      </c>
      <c r="R61" s="478">
        <v>75</v>
      </c>
      <c r="S61" s="561">
        <v>0</v>
      </c>
      <c r="T61" s="561">
        <v>30</v>
      </c>
      <c r="U61" s="561">
        <v>50</v>
      </c>
      <c r="V61" s="561">
        <v>75</v>
      </c>
      <c r="W61" s="478">
        <v>0</v>
      </c>
      <c r="X61" s="478">
        <v>30</v>
      </c>
      <c r="Y61" s="478">
        <v>50</v>
      </c>
      <c r="Z61" s="478">
        <v>75</v>
      </c>
      <c r="AA61" s="561">
        <v>0</v>
      </c>
      <c r="AB61" s="561">
        <v>30</v>
      </c>
      <c r="AC61" s="561">
        <v>50</v>
      </c>
      <c r="AD61" s="561">
        <v>75</v>
      </c>
      <c r="AE61" s="638"/>
      <c r="AF61" s="638"/>
      <c r="AG61" s="820"/>
      <c r="AH61" s="820"/>
      <c r="AI61" s="820"/>
      <c r="AJ61" s="820"/>
      <c r="AK61" s="820"/>
      <c r="AL61" s="820"/>
      <c r="AW61" s="775"/>
      <c r="AX61" s="775"/>
    </row>
    <row r="62" spans="1:50" ht="15.75" customHeight="1" x14ac:dyDescent="0.25">
      <c r="A62" s="884" t="s">
        <v>112</v>
      </c>
      <c r="B62" s="439" t="s">
        <v>4</v>
      </c>
      <c r="C62" s="247">
        <v>-25.3</v>
      </c>
      <c r="D62" s="253">
        <v>145</v>
      </c>
      <c r="E62" s="387">
        <f t="shared" ref="E62:E72" si="38">IF(OR(C62="",D62="", D62&lt;0),"---",        IF(AND(D62&gt;=N62,D62&gt;=ABS(C62)*L62),D62,"---"))</f>
        <v>145</v>
      </c>
      <c r="F62" s="440" t="e">
        <f>IF(OR(#REF!="", E62=""),"",(E62-#REF!*K62)^I62*(J62+E62*M62))</f>
        <v>#REF!</v>
      </c>
      <c r="G62" s="373">
        <f t="shared" ref="G62:G72" si="39">IF($E$11="m3/h",IF(H62="---","---",(H62*(1/0.58857777866))),IF($E$11="m3/s",IF(H62="---","---",FIXED((H62*0.0004719474432),5,FALSE)),IF($E$11="L/s",IF(H62="---","---",(H62*0.47194745)),"---")))</f>
        <v>11518.644994117203</v>
      </c>
      <c r="H62" s="506">
        <f t="shared" ref="H62:H72" si="40">IF(E62="---","---", (E62-ABS(C62)*K62)^I62*(J62+E62*M62))</f>
        <v>6779.6184838106328</v>
      </c>
      <c r="I62" s="507">
        <v>0.52139999999999997</v>
      </c>
      <c r="J62" s="341">
        <v>519.61829999999998</v>
      </c>
      <c r="K62" s="341">
        <v>-7.0000000000000007E-2</v>
      </c>
      <c r="L62" s="341">
        <v>0.8</v>
      </c>
      <c r="M62" s="565">
        <v>-0.115</v>
      </c>
      <c r="N62" s="442">
        <v>8.6</v>
      </c>
      <c r="O62" s="443">
        <f>IF($L62*O$61&gt;$N62, $L62*O$61, $N62)</f>
        <v>8.6</v>
      </c>
      <c r="P62" s="444">
        <f>IF($L62*P$61&gt;$N62, $L62*P$61, $N62)</f>
        <v>24</v>
      </c>
      <c r="Q62" s="445">
        <f>IF($L62*Q$61&gt;$N62, $L62*Q$61, $N62)</f>
        <v>40</v>
      </c>
      <c r="R62" s="445">
        <f>IF($L62*R$61&gt;$N62, $L62*R$61, $N62)</f>
        <v>60</v>
      </c>
      <c r="S62" s="446">
        <v>172.2</v>
      </c>
      <c r="T62" s="802">
        <v>169.87747192382813</v>
      </c>
      <c r="U62" s="802">
        <v>155.19016265869141</v>
      </c>
      <c r="V62" s="803">
        <v>138.12316131591797</v>
      </c>
      <c r="W62" s="811">
        <f>($O62-ABS(W$61)*$K62)^$I62*($J62+$O62*$M62)</f>
        <v>1592.5920413665599</v>
      </c>
      <c r="X62" s="811">
        <f>($P62-ABS(X$61)*$K62)^$I62*($J62+$P62*$M62)</f>
        <v>2831.4432092886691</v>
      </c>
      <c r="Y62" s="811">
        <f>($Q62-ABS(Y$61)*$K62)^$I62*($J62+$Q62*$M62)</f>
        <v>3682.3999802347703</v>
      </c>
      <c r="Z62" s="812">
        <f>($R62-ABS(Z$61)*$K62)^$I62*($J62+$R62*$M62)</f>
        <v>4528.9872666190677</v>
      </c>
      <c r="AA62" s="814">
        <f>($S62-ABS(AA$61)*$K62)^$I62*($J62+$S62*$M62)</f>
        <v>7322.800950249235</v>
      </c>
      <c r="AB62" s="814">
        <f>($T62-ABS(AB$61)*$K62)^$I62*($J62+$T62*$M62)</f>
        <v>7321.7759272160747</v>
      </c>
      <c r="AC62" s="814">
        <f>($U62-ABS(AC$61)*$K62)^$I62*($J62+$U62*$M62)</f>
        <v>7044.86546067586</v>
      </c>
      <c r="AD62" s="815">
        <f>($V62-ABS(AD$61)*$K62)^$I62*($J62+$V62*$M62)</f>
        <v>6707.8559171112374</v>
      </c>
      <c r="AE62" s="638"/>
      <c r="AF62" s="638"/>
      <c r="AG62" s="640">
        <f>IF('Flow charts'!$A$139=$O$61,AA62, IF('Flow charts'!$A$139=$P$61,AB62, IF('Flow charts'!$A$139=$Q$61,AC62, IF('Flow charts'!$A$139=$R$61,AD62,"SELECT BP"))))</f>
        <v>7044.86546067586</v>
      </c>
      <c r="AH62" s="640">
        <f>IF('Flow charts'!$A$139=$O$61,W62, IF('Flow charts'!$A$139=$P$61,X62, IF('Flow charts'!$A$139=$Q$61,Y62, IF('Flow charts'!$A$139=$R$61,Z62,"SELECT BP"))))</f>
        <v>3682.3999802347703</v>
      </c>
      <c r="AI62" s="640">
        <f t="shared" ref="AI62:AI70" si="41">AG62-AH62</f>
        <v>3362.4654804410898</v>
      </c>
      <c r="AJ62" s="820"/>
      <c r="AK62" s="820"/>
      <c r="AL62" s="820"/>
      <c r="AW62" s="775"/>
      <c r="AX62" s="775"/>
    </row>
    <row r="63" spans="1:50" ht="15.75" customHeight="1" x14ac:dyDescent="0.25">
      <c r="A63" s="885"/>
      <c r="B63" s="431" t="s">
        <v>55</v>
      </c>
      <c r="C63" s="250">
        <v>25</v>
      </c>
      <c r="D63" s="254">
        <v>300</v>
      </c>
      <c r="E63" s="430">
        <f t="shared" si="38"/>
        <v>300</v>
      </c>
      <c r="F63" s="408" t="e">
        <f>IF(OR(#REF!="", E63=""),"",(E63-#REF!*K63)^I63*(J63+E63*M63))</f>
        <v>#REF!</v>
      </c>
      <c r="G63" s="375">
        <f t="shared" si="39"/>
        <v>7957.7144022520915</v>
      </c>
      <c r="H63" s="453">
        <f t="shared" si="40"/>
        <v>4683.733866088226</v>
      </c>
      <c r="I63" s="369">
        <v>0.503</v>
      </c>
      <c r="J63" s="359">
        <v>264.99590000000001</v>
      </c>
      <c r="K63" s="301">
        <v>-7.4999999999999997E-2</v>
      </c>
      <c r="L63" s="301">
        <v>1</v>
      </c>
      <c r="M63" s="428">
        <v>0</v>
      </c>
      <c r="N63" s="350">
        <v>12</v>
      </c>
      <c r="O63" s="360">
        <f t="shared" ref="O63:R72" si="42">IF($L63*O$61&gt;$N63, $L63*O$61, $N63)</f>
        <v>12</v>
      </c>
      <c r="P63" s="361">
        <f t="shared" si="42"/>
        <v>30</v>
      </c>
      <c r="Q63" s="362">
        <f t="shared" si="42"/>
        <v>50</v>
      </c>
      <c r="R63" s="362">
        <f t="shared" si="42"/>
        <v>75</v>
      </c>
      <c r="S63" s="363">
        <v>361.5</v>
      </c>
      <c r="T63" s="595">
        <v>294.03562927246094</v>
      </c>
      <c r="U63" s="595">
        <v>269.62712097167969</v>
      </c>
      <c r="V63" s="804">
        <v>251.81669616699219</v>
      </c>
      <c r="W63" s="510">
        <f t="shared" ref="W63:W72" si="43">($O63-ABS(W$61)*$K63)^$I63*($J63+$O63*$M63)</f>
        <v>924.84152546369035</v>
      </c>
      <c r="X63" s="813">
        <f t="shared" ref="X63:X72" si="44">($P63-ABS(X$61)*$K63)^$I63*($J63+$P63*$M63)</f>
        <v>1520.6511798850993</v>
      </c>
      <c r="Y63" s="813">
        <f t="shared" ref="Y63:Y72" si="45">($Q63-ABS(Y$61)*$K63)^$I63*($J63+$Q63*$M63)</f>
        <v>1966.1630234802801</v>
      </c>
      <c r="Z63" s="813">
        <f t="shared" ref="Z63:Z72" si="46">($R63-ABS(Z$61)*$K63)^$I63*($J63+$R63*$M63)</f>
        <v>2410.9789999693917</v>
      </c>
      <c r="AA63" s="816">
        <f t="shared" ref="AA63:AA70" si="47">($S63-ABS(AA$61)*$K63)^$I63*($J63+$S63*$M63)</f>
        <v>5128.2315984893421</v>
      </c>
      <c r="AB63" s="816">
        <f t="shared" ref="AB63:AB70" si="48">($T63-ABS(AB$61)*$K63)^$I63*($J63+$T63*$M63)</f>
        <v>4639.9102503159256</v>
      </c>
      <c r="AC63" s="816">
        <f t="shared" ref="AC63:AC70" si="49">($U63-ABS(AC$61)*$K63)^$I63*($J63+$U63*$M63)</f>
        <v>4455.8496035901235</v>
      </c>
      <c r="AD63" s="816">
        <f t="shared" ref="AD63:AD70" si="50">($V63-ABS(AD$61)*$K63)^$I63*($J63+$V63*$M63)</f>
        <v>4323.252839013313</v>
      </c>
      <c r="AE63" s="638"/>
      <c r="AF63" s="638"/>
      <c r="AG63" s="640">
        <f>IF('Flow charts'!$A$139=$O$61,AA63, IF('Flow charts'!$A$139=$P$61,AB63, IF('Flow charts'!$A$139=$Q$61,AC63, IF('Flow charts'!$A$139=$R$61,AD63,"SELECT BP"))))</f>
        <v>4455.8496035901235</v>
      </c>
      <c r="AH63" s="640">
        <f>IF('Flow charts'!$A$139=$O$61,W63, IF('Flow charts'!$A$139=$P$61,X63, IF('Flow charts'!$A$139=$Q$61,Y63, IF('Flow charts'!$A$139=$R$61,Z63,"SELECT BP"))))</f>
        <v>1966.1630234802801</v>
      </c>
      <c r="AI63" s="640">
        <f t="shared" si="41"/>
        <v>2489.6865801098434</v>
      </c>
      <c r="AJ63" s="820"/>
      <c r="AK63" s="820"/>
      <c r="AL63" s="820"/>
      <c r="AW63" s="775"/>
      <c r="AX63" s="775"/>
    </row>
    <row r="64" spans="1:50" ht="15.75" customHeight="1" x14ac:dyDescent="0.25">
      <c r="A64" s="885"/>
      <c r="B64" s="452" t="s">
        <v>56</v>
      </c>
      <c r="C64" s="250">
        <v>25</v>
      </c>
      <c r="D64" s="254">
        <v>300</v>
      </c>
      <c r="E64" s="430">
        <f t="shared" si="38"/>
        <v>300</v>
      </c>
      <c r="F64" s="408" t="e">
        <f>IF(OR(#REF!="", E64=""),"",(E64-#REF!*K64)^I64*(J64+E64*M64))</f>
        <v>#REF!</v>
      </c>
      <c r="G64" s="375">
        <f t="shared" si="39"/>
        <v>5146.3920849883243</v>
      </c>
      <c r="H64" s="388">
        <f t="shared" si="40"/>
        <v>3029.0520214958342</v>
      </c>
      <c r="I64" s="369">
        <v>0.5</v>
      </c>
      <c r="J64" s="359">
        <v>174.88239999999999</v>
      </c>
      <c r="K64" s="301">
        <v>0</v>
      </c>
      <c r="L64" s="301">
        <v>0.3</v>
      </c>
      <c r="M64" s="428">
        <v>0</v>
      </c>
      <c r="N64" s="350">
        <v>10</v>
      </c>
      <c r="O64" s="336">
        <f t="shared" si="42"/>
        <v>10</v>
      </c>
      <c r="P64" s="351">
        <f t="shared" si="42"/>
        <v>10</v>
      </c>
      <c r="Q64" s="335">
        <f t="shared" si="42"/>
        <v>15</v>
      </c>
      <c r="R64" s="335">
        <f t="shared" si="42"/>
        <v>22.5</v>
      </c>
      <c r="S64" s="352">
        <v>455.5</v>
      </c>
      <c r="T64" s="805">
        <v>294.03562927246094</v>
      </c>
      <c r="U64" s="805">
        <v>269.62712097167969</v>
      </c>
      <c r="V64" s="806">
        <v>363.4429931640625</v>
      </c>
      <c r="W64" s="512">
        <f t="shared" si="43"/>
        <v>553.02670667663062</v>
      </c>
      <c r="X64" s="512">
        <f t="shared" si="44"/>
        <v>553.02670667663062</v>
      </c>
      <c r="Y64" s="512">
        <f t="shared" si="45"/>
        <v>677.3166227447839</v>
      </c>
      <c r="Z64" s="512">
        <f t="shared" si="46"/>
        <v>829.54006001494588</v>
      </c>
      <c r="AA64" s="817">
        <f t="shared" si="47"/>
        <v>3732.4181731761623</v>
      </c>
      <c r="AB64" s="817">
        <f t="shared" si="48"/>
        <v>2998.7902071352787</v>
      </c>
      <c r="AC64" s="817">
        <f t="shared" si="49"/>
        <v>2871.6260996753854</v>
      </c>
      <c r="AD64" s="817">
        <f t="shared" si="50"/>
        <v>3333.9897087993759</v>
      </c>
      <c r="AE64" s="638"/>
      <c r="AF64" s="638"/>
      <c r="AG64" s="640">
        <f>IF('Flow charts'!$A$139=$O$61,AA64, IF('Flow charts'!$A$139=$P$61,AB64, IF('Flow charts'!$A$139=$Q$61,AC64, IF('Flow charts'!$A$139=$R$61,AD64,"SELECT BP"))))</f>
        <v>2871.6260996753854</v>
      </c>
      <c r="AH64" s="640">
        <f>IF('Flow charts'!$A$139=$O$61,W64, IF('Flow charts'!$A$139=$P$61,X64, IF('Flow charts'!$A$139=$Q$61,Y64, IF('Flow charts'!$A$139=$R$61,Z64,"SELECT BP"))))</f>
        <v>677.3166227447839</v>
      </c>
      <c r="AI64" s="640">
        <f t="shared" si="41"/>
        <v>2194.3094769306017</v>
      </c>
      <c r="AJ64" s="820"/>
      <c r="AK64" s="820"/>
      <c r="AL64" s="820"/>
      <c r="AW64" s="775"/>
      <c r="AX64" s="775"/>
    </row>
    <row r="65" spans="1:50" ht="15.75" customHeight="1" x14ac:dyDescent="0.25">
      <c r="A65" s="885"/>
      <c r="B65" s="431" t="s">
        <v>57</v>
      </c>
      <c r="C65" s="250">
        <v>25</v>
      </c>
      <c r="D65" s="254">
        <v>300</v>
      </c>
      <c r="E65" s="430">
        <f t="shared" si="38"/>
        <v>300</v>
      </c>
      <c r="F65" s="408" t="e">
        <f>IF(OR(#REF!="", E65=""),"",(E65-#REF!*K65)^I65*(J65+E65*M65))</f>
        <v>#REF!</v>
      </c>
      <c r="G65" s="375">
        <f t="shared" si="39"/>
        <v>2453.3718506556302</v>
      </c>
      <c r="H65" s="451">
        <f t="shared" si="40"/>
        <v>1444.0001540858641</v>
      </c>
      <c r="I65" s="369">
        <v>0.5</v>
      </c>
      <c r="J65" s="359">
        <v>78.5</v>
      </c>
      <c r="K65" s="301">
        <v>-0.02</v>
      </c>
      <c r="L65" s="301">
        <v>0.5</v>
      </c>
      <c r="M65" s="428">
        <v>1.6E-2</v>
      </c>
      <c r="N65" s="350">
        <v>10</v>
      </c>
      <c r="O65" s="360">
        <f t="shared" si="42"/>
        <v>10</v>
      </c>
      <c r="P65" s="361">
        <f t="shared" si="42"/>
        <v>15</v>
      </c>
      <c r="Q65" s="362">
        <f t="shared" si="42"/>
        <v>25</v>
      </c>
      <c r="R65" s="362">
        <f t="shared" si="42"/>
        <v>37.5</v>
      </c>
      <c r="S65" s="363">
        <v>599</v>
      </c>
      <c r="T65" s="595">
        <v>530.085693359375</v>
      </c>
      <c r="U65" s="595">
        <v>501.32966613769531</v>
      </c>
      <c r="V65" s="807">
        <v>476.01612854003906</v>
      </c>
      <c r="W65" s="510">
        <f t="shared" si="43"/>
        <v>248.74476074884473</v>
      </c>
      <c r="X65" s="510">
        <f t="shared" si="44"/>
        <v>310.99808128025484</v>
      </c>
      <c r="Y65" s="510">
        <f t="shared" si="45"/>
        <v>402.31263962247073</v>
      </c>
      <c r="Z65" s="510">
        <f t="shared" si="46"/>
        <v>493.97934167331329</v>
      </c>
      <c r="AA65" s="816">
        <f t="shared" si="47"/>
        <v>2155.8097881176809</v>
      </c>
      <c r="AB65" s="816">
        <f t="shared" si="48"/>
        <v>2003.7564764319645</v>
      </c>
      <c r="AC65" s="816">
        <f t="shared" si="49"/>
        <v>1939.176424187986</v>
      </c>
      <c r="AD65" s="816">
        <f t="shared" si="50"/>
        <v>1881.8247361175365</v>
      </c>
      <c r="AE65" s="638"/>
      <c r="AF65" s="638"/>
      <c r="AG65" s="640">
        <f>IF('Flow charts'!$A$139=$O$61,AA65, IF('Flow charts'!$A$139=$P$61,AB65, IF('Flow charts'!$A$139=$Q$61,AC65, IF('Flow charts'!$A$139=$R$61,AD65,"SELECT BP"))))</f>
        <v>1939.176424187986</v>
      </c>
      <c r="AH65" s="640">
        <f>IF('Flow charts'!$A$139=$O$61,W65, IF('Flow charts'!$A$139=$P$61,X65, IF('Flow charts'!$A$139=$Q$61,Y65, IF('Flow charts'!$A$139=$R$61,Z65,"SELECT BP"))))</f>
        <v>402.31263962247073</v>
      </c>
      <c r="AI65" s="640">
        <f t="shared" si="41"/>
        <v>1536.8637845655153</v>
      </c>
      <c r="AJ65" s="820"/>
      <c r="AK65" s="820"/>
      <c r="AL65" s="820"/>
      <c r="AW65" s="775"/>
      <c r="AX65" s="775"/>
    </row>
    <row r="66" spans="1:50" ht="15.75" customHeight="1" x14ac:dyDescent="0.25">
      <c r="A66" s="885"/>
      <c r="B66" s="431" t="s">
        <v>58</v>
      </c>
      <c r="C66" s="250">
        <v>25</v>
      </c>
      <c r="D66" s="254">
        <v>300</v>
      </c>
      <c r="E66" s="430">
        <f t="shared" si="38"/>
        <v>300</v>
      </c>
      <c r="F66" s="298" t="e">
        <f>IF(OR(#REF!="", E66=""),"",(E66-#REF!*K66)^I66*(J66+E66*M66))</f>
        <v>#REF!</v>
      </c>
      <c r="G66" s="375">
        <f t="shared" si="39"/>
        <v>1888.135804926507</v>
      </c>
      <c r="H66" s="464">
        <f t="shared" si="40"/>
        <v>1111.3147778720547</v>
      </c>
      <c r="I66" s="300">
        <v>0.505</v>
      </c>
      <c r="J66" s="301">
        <v>61.3</v>
      </c>
      <c r="K66" s="301">
        <v>5.3999999999999999E-2</v>
      </c>
      <c r="L66" s="301">
        <v>0.5</v>
      </c>
      <c r="M66" s="428">
        <v>4.0000000000000001E-3</v>
      </c>
      <c r="N66" s="350">
        <v>10</v>
      </c>
      <c r="O66" s="336">
        <f t="shared" si="42"/>
        <v>10</v>
      </c>
      <c r="P66" s="351">
        <f t="shared" si="42"/>
        <v>15</v>
      </c>
      <c r="Q66" s="335">
        <f t="shared" si="42"/>
        <v>25</v>
      </c>
      <c r="R66" s="335">
        <f t="shared" si="42"/>
        <v>37.5</v>
      </c>
      <c r="S66" s="352">
        <v>615.5</v>
      </c>
      <c r="T66" s="805">
        <v>564.57809448242188</v>
      </c>
      <c r="U66" s="805">
        <v>536.88735961914063</v>
      </c>
      <c r="V66" s="806">
        <v>500.81695556640625</v>
      </c>
      <c r="W66" s="512">
        <f t="shared" si="43"/>
        <v>196.22022602847034</v>
      </c>
      <c r="X66" s="512">
        <f t="shared" si="44"/>
        <v>227.37655817080164</v>
      </c>
      <c r="Y66" s="512">
        <f t="shared" si="45"/>
        <v>294.48442274225471</v>
      </c>
      <c r="Z66" s="512">
        <f t="shared" si="46"/>
        <v>361.69452002391199</v>
      </c>
      <c r="AA66" s="817">
        <f t="shared" si="47"/>
        <v>1633.5111374335011</v>
      </c>
      <c r="AB66" s="817">
        <f t="shared" si="48"/>
        <v>1556.5489093885656</v>
      </c>
      <c r="AC66" s="817">
        <f t="shared" si="49"/>
        <v>1513.2132117793399</v>
      </c>
      <c r="AD66" s="817">
        <f t="shared" si="50"/>
        <v>1455.4029228269021</v>
      </c>
      <c r="AE66" s="638"/>
      <c r="AF66" s="638"/>
      <c r="AG66" s="640">
        <f>IF('Flow charts'!$A$139=$O$61,AA66, IF('Flow charts'!$A$139=$P$61,AB66, IF('Flow charts'!$A$139=$Q$61,AC66, IF('Flow charts'!$A$139=$R$61,AD66,"SELECT BP"))))</f>
        <v>1513.2132117793399</v>
      </c>
      <c r="AH66" s="640">
        <f>IF('Flow charts'!$A$139=$O$61,W66, IF('Flow charts'!$A$139=$P$61,X66, IF('Flow charts'!$A$139=$Q$61,Y66, IF('Flow charts'!$A$139=$R$61,Z66,"SELECT BP"))))</f>
        <v>294.48442274225471</v>
      </c>
      <c r="AI66" s="640">
        <f t="shared" si="41"/>
        <v>1218.7287890370851</v>
      </c>
      <c r="AJ66" s="820"/>
      <c r="AK66" s="820"/>
      <c r="AL66" s="820"/>
      <c r="AW66" s="775"/>
      <c r="AX66" s="775"/>
    </row>
    <row r="67" spans="1:50" ht="15.75" customHeight="1" x14ac:dyDescent="0.25">
      <c r="A67" s="885"/>
      <c r="B67" s="457" t="s">
        <v>59</v>
      </c>
      <c r="C67" s="250">
        <v>25</v>
      </c>
      <c r="D67" s="254">
        <v>300</v>
      </c>
      <c r="E67" s="430">
        <f t="shared" si="38"/>
        <v>300</v>
      </c>
      <c r="F67" s="298" t="e">
        <f>IF(OR(#REF!="", E67=""),"",(E67-#REF!*K67)^I67*(J67+E67*M67))</f>
        <v>#REF!</v>
      </c>
      <c r="G67" s="375">
        <f t="shared" si="39"/>
        <v>1299.2640345453042</v>
      </c>
      <c r="H67" s="455">
        <f t="shared" si="40"/>
        <v>764.71793934550465</v>
      </c>
      <c r="I67" s="369">
        <v>0.50770000000000004</v>
      </c>
      <c r="J67" s="376">
        <v>42</v>
      </c>
      <c r="K67" s="301">
        <v>8.9999999999999993E-3</v>
      </c>
      <c r="L67" s="301">
        <v>0.5</v>
      </c>
      <c r="M67" s="428">
        <v>8.9999999999999998E-4</v>
      </c>
      <c r="N67" s="350">
        <v>10</v>
      </c>
      <c r="O67" s="360">
        <f t="shared" si="42"/>
        <v>10</v>
      </c>
      <c r="P67" s="361">
        <f t="shared" si="42"/>
        <v>15</v>
      </c>
      <c r="Q67" s="362">
        <f t="shared" si="42"/>
        <v>25</v>
      </c>
      <c r="R67" s="362">
        <f t="shared" si="42"/>
        <v>37.5</v>
      </c>
      <c r="S67" s="595">
        <v>570.25</v>
      </c>
      <c r="T67" s="595">
        <v>522.91400146484375</v>
      </c>
      <c r="U67" s="595">
        <v>503.54011535644531</v>
      </c>
      <c r="V67" s="807">
        <v>482.67532348632813</v>
      </c>
      <c r="W67" s="510">
        <f t="shared" si="43"/>
        <v>135.22043961341475</v>
      </c>
      <c r="X67" s="510">
        <f t="shared" si="44"/>
        <v>164.62106128800428</v>
      </c>
      <c r="Y67" s="510">
        <f t="shared" si="45"/>
        <v>213.40816455330273</v>
      </c>
      <c r="Z67" s="510">
        <f t="shared" si="46"/>
        <v>262.25804163385158</v>
      </c>
      <c r="AA67" s="367">
        <f t="shared" si="47"/>
        <v>1066.0520287673639</v>
      </c>
      <c r="AB67" s="367">
        <f t="shared" si="48"/>
        <v>1018.8770939765751</v>
      </c>
      <c r="AC67" s="367">
        <f t="shared" si="49"/>
        <v>998.93183590323986</v>
      </c>
      <c r="AD67" s="367">
        <f t="shared" si="50"/>
        <v>977.01509774569399</v>
      </c>
      <c r="AE67" s="638"/>
      <c r="AF67" s="638"/>
      <c r="AG67" s="640">
        <f>IF('Flow charts'!$A$139=$O$61,AA67, IF('Flow charts'!$A$139=$P$61,AB67, IF('Flow charts'!$A$139=$Q$61,AC67, IF('Flow charts'!$A$139=$R$61,AD67,"SELECT BP"))))</f>
        <v>998.93183590323986</v>
      </c>
      <c r="AH67" s="640">
        <f>IF('Flow charts'!$A$139=$O$61,W67, IF('Flow charts'!$A$139=$P$61,X67, IF('Flow charts'!$A$139=$Q$61,Y67, IF('Flow charts'!$A$139=$R$61,Z67,"SELECT BP"))))</f>
        <v>213.40816455330273</v>
      </c>
      <c r="AI67" s="637">
        <f t="shared" si="41"/>
        <v>785.5236713499371</v>
      </c>
      <c r="AJ67" s="820"/>
      <c r="AK67" s="820"/>
      <c r="AL67" s="820"/>
      <c r="AW67" s="775"/>
      <c r="AX67" s="775"/>
    </row>
    <row r="68" spans="1:50" ht="15.75" customHeight="1" x14ac:dyDescent="0.25">
      <c r="A68" s="885"/>
      <c r="B68" s="459" t="s">
        <v>60</v>
      </c>
      <c r="C68" s="250">
        <v>25</v>
      </c>
      <c r="D68" s="254">
        <v>300</v>
      </c>
      <c r="E68" s="430">
        <f t="shared" si="38"/>
        <v>300</v>
      </c>
      <c r="F68" s="372" t="e">
        <f>IF(OR(#REF!="", E68=""),"",(E68-#REF!*K68)^I68*(J68+E68*M68))</f>
        <v>#REF!</v>
      </c>
      <c r="G68" s="375">
        <f t="shared" si="39"/>
        <v>712.32672943478826</v>
      </c>
      <c r="H68" s="458">
        <f t="shared" si="40"/>
        <v>419.25968409087056</v>
      </c>
      <c r="I68" s="369">
        <v>0.52</v>
      </c>
      <c r="J68" s="301">
        <v>22</v>
      </c>
      <c r="K68" s="301">
        <v>0.11</v>
      </c>
      <c r="L68" s="301">
        <v>0.5</v>
      </c>
      <c r="M68" s="428">
        <v>-1E-3</v>
      </c>
      <c r="N68" s="350">
        <v>10</v>
      </c>
      <c r="O68" s="336">
        <f t="shared" si="42"/>
        <v>10</v>
      </c>
      <c r="P68" s="351">
        <f t="shared" si="42"/>
        <v>15</v>
      </c>
      <c r="Q68" s="335">
        <f t="shared" si="42"/>
        <v>25</v>
      </c>
      <c r="R68" s="335">
        <f t="shared" si="42"/>
        <v>37.5</v>
      </c>
      <c r="S68" s="352">
        <v>536.5</v>
      </c>
      <c r="T68" s="805">
        <v>472.12484741210938</v>
      </c>
      <c r="U68" s="805">
        <v>449.25291442871094</v>
      </c>
      <c r="V68" s="806">
        <v>432.30946350097656</v>
      </c>
      <c r="W68" s="512">
        <f t="shared" si="43"/>
        <v>72.815733614021795</v>
      </c>
      <c r="X68" s="512">
        <f t="shared" si="44"/>
        <v>78.992001489330661</v>
      </c>
      <c r="Y68" s="512">
        <f t="shared" si="45"/>
        <v>102.97857590452337</v>
      </c>
      <c r="Z68" s="512">
        <f t="shared" si="46"/>
        <v>127.0770800432384</v>
      </c>
      <c r="AA68" s="356">
        <f t="shared" si="47"/>
        <v>563.73733803118796</v>
      </c>
      <c r="AB68" s="356">
        <f t="shared" si="48"/>
        <v>527.1408700360912</v>
      </c>
      <c r="AC68" s="356">
        <f t="shared" si="49"/>
        <v>512.83276399430645</v>
      </c>
      <c r="AD68" s="356">
        <f t="shared" si="50"/>
        <v>501.26289546273216</v>
      </c>
      <c r="AE68" s="638"/>
      <c r="AF68" s="638"/>
      <c r="AG68" s="640">
        <f>IF('Flow charts'!$A$139=$O$61,AA68, IF('Flow charts'!$A$139=$P$61,AB68, IF('Flow charts'!$A$139=$Q$61,AC68, IF('Flow charts'!$A$139=$R$61,AD68,"SELECT BP"))))</f>
        <v>512.83276399430645</v>
      </c>
      <c r="AH68" s="640">
        <f>IF('Flow charts'!$A$139=$O$61,W68, IF('Flow charts'!$A$139=$P$61,X68, IF('Flow charts'!$A$139=$Q$61,Y68, IF('Flow charts'!$A$139=$R$61,Z68,"SELECT BP"))))</f>
        <v>102.97857590452337</v>
      </c>
      <c r="AI68" s="637">
        <f t="shared" si="41"/>
        <v>409.85418808978307</v>
      </c>
      <c r="AJ68" s="820"/>
      <c r="AK68" s="820"/>
      <c r="AL68" s="820"/>
      <c r="AW68" s="775"/>
      <c r="AX68" s="775"/>
    </row>
    <row r="69" spans="1:50" ht="15.75" customHeight="1" x14ac:dyDescent="0.25">
      <c r="A69" s="885"/>
      <c r="B69" s="431" t="s">
        <v>61</v>
      </c>
      <c r="C69" s="250">
        <v>25</v>
      </c>
      <c r="D69" s="254">
        <v>300</v>
      </c>
      <c r="E69" s="430">
        <f t="shared" si="38"/>
        <v>300</v>
      </c>
      <c r="F69" s="372" t="e">
        <f>IF(OR(#REF!="", E69=""),"",(E69-#REF!*K69)^I69*(J69+E69*M69))</f>
        <v>#REF!</v>
      </c>
      <c r="G69" s="375">
        <f t="shared" si="39"/>
        <v>425.2111262387719</v>
      </c>
      <c r="H69" s="458">
        <f t="shared" si="40"/>
        <v>250.26982014313322</v>
      </c>
      <c r="I69" s="300">
        <v>0.54100000000000004</v>
      </c>
      <c r="J69" s="460">
        <v>11.9239</v>
      </c>
      <c r="K69" s="301">
        <v>0.13</v>
      </c>
      <c r="L69" s="301">
        <v>0.4</v>
      </c>
      <c r="M69" s="428">
        <v>-1.4E-3</v>
      </c>
      <c r="N69" s="350">
        <v>10</v>
      </c>
      <c r="O69" s="360">
        <f t="shared" si="42"/>
        <v>10</v>
      </c>
      <c r="P69" s="361">
        <f t="shared" si="42"/>
        <v>12</v>
      </c>
      <c r="Q69" s="362">
        <f t="shared" si="42"/>
        <v>20</v>
      </c>
      <c r="R69" s="362">
        <f t="shared" si="42"/>
        <v>30</v>
      </c>
      <c r="S69" s="595">
        <v>507.25</v>
      </c>
      <c r="T69" s="595">
        <v>445.62750244140625</v>
      </c>
      <c r="U69" s="595">
        <v>427.30792236328125</v>
      </c>
      <c r="V69" s="807">
        <v>408.56407165527344</v>
      </c>
      <c r="W69" s="510">
        <f t="shared" si="43"/>
        <v>41.39120929172438</v>
      </c>
      <c r="X69" s="510">
        <f t="shared" si="44"/>
        <v>36.922950342954671</v>
      </c>
      <c r="Y69" s="510">
        <f t="shared" si="45"/>
        <v>48.630403550205621</v>
      </c>
      <c r="Z69" s="510">
        <f t="shared" si="46"/>
        <v>60.486970434198767</v>
      </c>
      <c r="AA69" s="367">
        <f t="shared" si="47"/>
        <v>326.04384179923147</v>
      </c>
      <c r="AB69" s="367">
        <f t="shared" si="48"/>
        <v>304.86517793995944</v>
      </c>
      <c r="AC69" s="367">
        <f t="shared" si="49"/>
        <v>297.64134294663347</v>
      </c>
      <c r="AD69" s="367">
        <f t="shared" si="50"/>
        <v>289.79158945099186</v>
      </c>
      <c r="AE69" s="638"/>
      <c r="AF69" s="638"/>
      <c r="AG69" s="640">
        <f>IF('Flow charts'!$A$139=$O$61,AA69, IF('Flow charts'!$A$139=$P$61,AB69, IF('Flow charts'!$A$139=$Q$61,AC69, IF('Flow charts'!$A$139=$R$61,AD69,"SELECT BP"))))</f>
        <v>297.64134294663347</v>
      </c>
      <c r="AH69" s="640">
        <f>IF('Flow charts'!$A$139=$O$61,W69, IF('Flow charts'!$A$139=$P$61,X69, IF('Flow charts'!$A$139=$Q$61,Y69, IF('Flow charts'!$A$139=$R$61,Z69,"SELECT BP"))))</f>
        <v>48.630403550205621</v>
      </c>
      <c r="AI69" s="639">
        <f t="shared" si="41"/>
        <v>249.01093939642786</v>
      </c>
      <c r="AJ69" s="820"/>
      <c r="AK69" s="820"/>
      <c r="AL69" s="820"/>
      <c r="AW69" s="775"/>
      <c r="AX69" s="775"/>
    </row>
    <row r="70" spans="1:50" ht="15.75" customHeight="1" x14ac:dyDescent="0.25">
      <c r="A70" s="885"/>
      <c r="B70" s="431" t="s">
        <v>62</v>
      </c>
      <c r="C70" s="250">
        <v>25</v>
      </c>
      <c r="D70" s="254">
        <v>300</v>
      </c>
      <c r="E70" s="430">
        <f>IF(OR(C70="",D70="", D70&lt;0),"---",        IF(AND(D70&gt;=N70,D70&gt;=ABS(C70)*L70),D70,"---"))</f>
        <v>300</v>
      </c>
      <c r="F70" s="372" t="e">
        <f>IF(OR(#REF!="", E70=""),"",(E70-#REF!*K70)^I70*(J70+E70*M70))</f>
        <v>#REF!</v>
      </c>
      <c r="G70" s="375">
        <f t="shared" si="39"/>
        <v>110.7702689151224</v>
      </c>
      <c r="H70" s="458">
        <f>IF(E70="---","---", (E70-ABS(C70)*K70)^I70*(J70+E70*M70))</f>
        <v>65.196918819633595</v>
      </c>
      <c r="I70" s="300">
        <v>0.48</v>
      </c>
      <c r="J70" s="460">
        <v>4.0994999999999999</v>
      </c>
      <c r="K70" s="301">
        <v>3.0000000000000001E-3</v>
      </c>
      <c r="L70" s="301">
        <v>1</v>
      </c>
      <c r="M70" s="428">
        <v>4.0000000000000002E-4</v>
      </c>
      <c r="N70" s="350">
        <v>10</v>
      </c>
      <c r="O70" s="336">
        <f t="shared" si="42"/>
        <v>10</v>
      </c>
      <c r="P70" s="351">
        <f t="shared" si="42"/>
        <v>30</v>
      </c>
      <c r="Q70" s="335">
        <f t="shared" si="42"/>
        <v>50</v>
      </c>
      <c r="R70" s="335">
        <f t="shared" si="42"/>
        <v>75</v>
      </c>
      <c r="S70" s="352">
        <v>535</v>
      </c>
      <c r="T70" s="805">
        <v>452.14077758789063</v>
      </c>
      <c r="U70" s="805">
        <v>435.0792236328125</v>
      </c>
      <c r="V70" s="806">
        <v>416.15116882324219</v>
      </c>
      <c r="W70" s="512">
        <f t="shared" si="43"/>
        <v>12.392371884669673</v>
      </c>
      <c r="X70" s="512">
        <f t="shared" si="44"/>
        <v>21.008361062062363</v>
      </c>
      <c r="Y70" s="512">
        <f t="shared" si="45"/>
        <v>26.898235106975161</v>
      </c>
      <c r="Z70" s="512">
        <f t="shared" si="46"/>
        <v>32.756730893711762</v>
      </c>
      <c r="AA70" s="367">
        <f t="shared" si="47"/>
        <v>87.991276426259972</v>
      </c>
      <c r="AB70" s="367">
        <f t="shared" si="48"/>
        <v>80.532241741270511</v>
      </c>
      <c r="AC70" s="367">
        <f t="shared" si="49"/>
        <v>78.927410011663568</v>
      </c>
      <c r="AD70" s="367">
        <f t="shared" si="50"/>
        <v>77.116023053346723</v>
      </c>
      <c r="AE70" s="638"/>
      <c r="AF70" s="638"/>
      <c r="AG70" s="640">
        <f>IF('Flow charts'!$A$139=$O$61,AA70, IF('Flow charts'!$A$139=$P$61,AB70, IF('Flow charts'!$A$139=$Q$61,AC70, IF('Flow charts'!$A$139=$R$61,AD70,"SELECT BP"))))</f>
        <v>78.927410011663568</v>
      </c>
      <c r="AH70" s="640">
        <f>IF('Flow charts'!$A$139=$O$61,W70, IF('Flow charts'!$A$139=$P$61,X70, IF('Flow charts'!$A$139=$Q$61,Y70, IF('Flow charts'!$A$139=$R$61,Z70,"SELECT BP"))))</f>
        <v>26.898235106975161</v>
      </c>
      <c r="AI70" s="639">
        <f t="shared" si="41"/>
        <v>52.029174904688404</v>
      </c>
      <c r="AJ70" s="820"/>
      <c r="AK70" s="820"/>
      <c r="AL70" s="820"/>
    </row>
    <row r="71" spans="1:50" ht="15.75" customHeight="1" x14ac:dyDescent="0.25">
      <c r="A71" s="885"/>
      <c r="B71" s="431" t="s">
        <v>63</v>
      </c>
      <c r="C71" s="250">
        <v>25</v>
      </c>
      <c r="D71" s="254">
        <v>300</v>
      </c>
      <c r="E71" s="430">
        <f t="shared" si="38"/>
        <v>300</v>
      </c>
      <c r="F71" s="372" t="e">
        <f>IF(OR(#REF!="", E71=""),"",(E71-#REF!*K71)^I71*(J71+E71*M71))</f>
        <v>#REF!</v>
      </c>
      <c r="G71" s="375">
        <f t="shared" si="39"/>
        <v>62.441753336207015</v>
      </c>
      <c r="H71" s="458">
        <f t="shared" si="40"/>
        <v>36.751828474260371</v>
      </c>
      <c r="I71" s="369">
        <v>0.502</v>
      </c>
      <c r="J71" s="460">
        <v>2.0678000000000001</v>
      </c>
      <c r="K71" s="301">
        <v>0</v>
      </c>
      <c r="L71" s="301">
        <v>0.5</v>
      </c>
      <c r="M71" s="428">
        <v>1E-4</v>
      </c>
      <c r="N71" s="350">
        <v>10</v>
      </c>
      <c r="O71" s="360">
        <f t="shared" si="42"/>
        <v>10</v>
      </c>
      <c r="P71" s="361">
        <f t="shared" si="42"/>
        <v>15</v>
      </c>
      <c r="Q71" s="362">
        <f t="shared" si="42"/>
        <v>25</v>
      </c>
      <c r="R71" s="362">
        <f t="shared" si="42"/>
        <v>37.5</v>
      </c>
      <c r="S71" s="363"/>
      <c r="T71" s="364"/>
      <c r="U71" s="808"/>
      <c r="V71" s="809"/>
      <c r="W71" s="510">
        <f t="shared" si="43"/>
        <v>6.5723170773602462</v>
      </c>
      <c r="X71" s="510">
        <f t="shared" si="44"/>
        <v>8.0578888005268254</v>
      </c>
      <c r="Y71" s="510">
        <f t="shared" si="45"/>
        <v>10.418355354386694</v>
      </c>
      <c r="Z71" s="510">
        <f t="shared" si="46"/>
        <v>12.777889157933513</v>
      </c>
      <c r="AA71" s="367"/>
      <c r="AB71" s="367"/>
      <c r="AC71" s="367"/>
      <c r="AD71" s="367"/>
      <c r="AG71" s="801"/>
      <c r="AH71" s="801"/>
      <c r="AI71" s="801"/>
      <c r="AJ71" s="233"/>
      <c r="AK71" s="233"/>
      <c r="AL71" s="233"/>
    </row>
    <row r="72" spans="1:50" ht="15.75" customHeight="1" thickBot="1" x14ac:dyDescent="0.3">
      <c r="A72" s="886"/>
      <c r="B72" s="513" t="s">
        <v>64</v>
      </c>
      <c r="C72" s="252">
        <v>25</v>
      </c>
      <c r="D72" s="255">
        <v>300</v>
      </c>
      <c r="E72" s="433">
        <f t="shared" si="38"/>
        <v>300</v>
      </c>
      <c r="F72" s="378" t="e">
        <f>IF(OR(#REF!="", E72=""),"",(E72-#REF!*K72)^I72*(J72+E72*M72))</f>
        <v>#REF!</v>
      </c>
      <c r="G72" s="375">
        <f t="shared" si="39"/>
        <v>33.453847045139781</v>
      </c>
      <c r="H72" s="503">
        <f t="shared" si="40"/>
        <v>19.690190981459779</v>
      </c>
      <c r="I72" s="380">
        <v>0.49249999999999999</v>
      </c>
      <c r="J72" s="465">
        <v>1.1614</v>
      </c>
      <c r="K72" s="381">
        <v>0.1</v>
      </c>
      <c r="L72" s="381">
        <v>0.5</v>
      </c>
      <c r="M72" s="434">
        <v>1E-4</v>
      </c>
      <c r="N72" s="382">
        <v>10</v>
      </c>
      <c r="O72" s="314">
        <f t="shared" si="42"/>
        <v>10</v>
      </c>
      <c r="P72" s="315">
        <f t="shared" si="42"/>
        <v>15</v>
      </c>
      <c r="Q72" s="316">
        <f t="shared" si="42"/>
        <v>25</v>
      </c>
      <c r="R72" s="316">
        <f t="shared" si="42"/>
        <v>37.5</v>
      </c>
      <c r="S72" s="321"/>
      <c r="T72" s="466"/>
      <c r="U72" s="810"/>
      <c r="V72" s="810"/>
      <c r="W72" s="319">
        <f t="shared" si="43"/>
        <v>3.6128971733443667</v>
      </c>
      <c r="X72" s="319">
        <f t="shared" si="44"/>
        <v>3.9540224808829154</v>
      </c>
      <c r="Y72" s="319">
        <f t="shared" si="45"/>
        <v>5.0894744801957508</v>
      </c>
      <c r="Z72" s="319">
        <f t="shared" si="46"/>
        <v>6.2210552366904741</v>
      </c>
      <c r="AA72" s="818"/>
      <c r="AB72" s="818"/>
      <c r="AC72" s="818"/>
      <c r="AD72" s="818"/>
      <c r="AG72" s="233"/>
      <c r="AH72" s="233"/>
      <c r="AI72" s="233"/>
      <c r="AJ72" s="233"/>
      <c r="AK72" s="233"/>
      <c r="AL72" s="233"/>
    </row>
    <row r="73" spans="1:50" ht="15" customHeight="1" x14ac:dyDescent="0.25">
      <c r="G73" s="847"/>
      <c r="AB73" s="775"/>
      <c r="AC73" s="638"/>
      <c r="AD73" s="638"/>
    </row>
    <row r="74" spans="1:50" ht="15" customHeight="1" x14ac:dyDescent="0.25">
      <c r="AB74" s="775"/>
      <c r="AC74" s="638"/>
      <c r="AD74" s="638"/>
    </row>
    <row r="75" spans="1:50" ht="166.5" customHeight="1" thickBot="1" x14ac:dyDescent="0.3">
      <c r="A75" s="905"/>
      <c r="B75" s="905"/>
      <c r="C75" s="905"/>
      <c r="D75" s="905"/>
      <c r="E75" s="905"/>
      <c r="G75" s="866"/>
      <c r="H75" s="890" t="s">
        <v>101</v>
      </c>
      <c r="I75" s="890"/>
      <c r="J75" s="890"/>
      <c r="K75" s="890"/>
      <c r="L75" s="890"/>
      <c r="M75" s="890"/>
      <c r="N75" s="890"/>
      <c r="O75" s="263"/>
      <c r="AB75" s="775"/>
      <c r="AC75" s="638"/>
      <c r="AD75" s="638"/>
    </row>
    <row r="76" spans="1:50" ht="37.5" customHeight="1" thickBot="1" x14ac:dyDescent="0.3">
      <c r="C76" s="899" t="s">
        <v>28</v>
      </c>
      <c r="D76" s="900"/>
      <c r="E76" s="267" t="s">
        <v>103</v>
      </c>
      <c r="G76" s="870"/>
      <c r="H76" s="891"/>
      <c r="I76" s="891"/>
      <c r="J76" s="891"/>
      <c r="K76" s="891"/>
      <c r="L76" s="891"/>
      <c r="M76" s="891"/>
      <c r="N76" s="891"/>
      <c r="O76" s="263"/>
      <c r="S76" s="913" t="s">
        <v>74</v>
      </c>
      <c r="T76" s="914"/>
      <c r="U76" s="915" t="s">
        <v>77</v>
      </c>
      <c r="V76" s="916"/>
      <c r="W76" s="907" t="s">
        <v>75</v>
      </c>
      <c r="X76" s="912"/>
      <c r="Y76" s="909" t="s">
        <v>76</v>
      </c>
      <c r="Z76" s="911"/>
      <c r="AB76" s="775"/>
      <c r="AC76" s="638"/>
      <c r="AD76" s="638"/>
      <c r="AE76" s="638"/>
      <c r="AF76" s="638"/>
      <c r="AG76" s="638"/>
      <c r="AH76" s="638"/>
      <c r="AI76" s="638"/>
      <c r="AJ76" s="638"/>
      <c r="AK76" s="638"/>
      <c r="AL76" s="638"/>
      <c r="AM76" s="638"/>
      <c r="AN76" s="638"/>
    </row>
    <row r="77" spans="1:50" ht="54" customHeight="1" thickBot="1" x14ac:dyDescent="0.35">
      <c r="A77" s="270" t="s">
        <v>7</v>
      </c>
      <c r="B77" s="270" t="s">
        <v>8</v>
      </c>
      <c r="C77" s="271" t="s">
        <v>34</v>
      </c>
      <c r="D77" s="272" t="s">
        <v>30</v>
      </c>
      <c r="E77" s="514" t="s">
        <v>40</v>
      </c>
      <c r="F77" s="515" t="s">
        <v>27</v>
      </c>
      <c r="G77" s="275" t="str">
        <f>IF($E$11="m3/h","m3/h displayed on DM32",IF($E$11="m3/s","m3/s displayed on DM32",IF($E$11="L/s","L/s displayed on DM32","Metric displayed on DM32")))</f>
        <v>m3/h displayed on DM32</v>
      </c>
      <c r="H77" s="275" t="s">
        <v>26</v>
      </c>
      <c r="I77" s="516" t="s">
        <v>1</v>
      </c>
      <c r="J77" s="517" t="s">
        <v>0</v>
      </c>
      <c r="K77" s="517" t="s">
        <v>19</v>
      </c>
      <c r="L77" s="517" t="s">
        <v>20</v>
      </c>
      <c r="M77" s="517" t="s">
        <v>21</v>
      </c>
      <c r="N77" s="517" t="s">
        <v>22</v>
      </c>
      <c r="O77" s="517" t="s">
        <v>23</v>
      </c>
      <c r="P77" s="517" t="s">
        <v>24</v>
      </c>
      <c r="Q77" s="517" t="s">
        <v>25</v>
      </c>
      <c r="R77" s="518" t="s">
        <v>6</v>
      </c>
      <c r="S77" s="519">
        <v>250</v>
      </c>
      <c r="T77" s="280">
        <v>500</v>
      </c>
      <c r="U77" s="520">
        <v>250</v>
      </c>
      <c r="V77" s="520">
        <v>500</v>
      </c>
      <c r="W77" s="280">
        <v>250</v>
      </c>
      <c r="X77" s="280">
        <v>500</v>
      </c>
      <c r="Y77" s="520">
        <v>250</v>
      </c>
      <c r="Z77" s="520">
        <v>500</v>
      </c>
      <c r="AB77" s="775"/>
      <c r="AC77" s="638"/>
      <c r="AD77" s="638"/>
      <c r="AE77" s="638"/>
      <c r="AF77" s="638"/>
      <c r="AG77" s="636" t="s">
        <v>82</v>
      </c>
      <c r="AH77" s="636" t="s">
        <v>83</v>
      </c>
      <c r="AI77" s="636" t="s">
        <v>80</v>
      </c>
      <c r="AJ77" s="638"/>
      <c r="AK77" s="638"/>
      <c r="AL77" s="638"/>
      <c r="AM77" s="638"/>
      <c r="AN77" s="638"/>
    </row>
    <row r="78" spans="1:50" ht="15" customHeight="1" x14ac:dyDescent="0.25">
      <c r="A78" s="884">
        <v>4000</v>
      </c>
      <c r="B78" s="521" t="s">
        <v>4</v>
      </c>
      <c r="C78" s="247">
        <v>25</v>
      </c>
      <c r="D78" s="253">
        <v>300</v>
      </c>
      <c r="E78" s="387">
        <f>IF(OR(C78="",D78="",D78&lt;0),"",        IF(AND(C78&gt;=0,D78&gt;=R78, D78&gt;=ABS(C78)*Q78),D78,         IF(AND(C78&lt;0, (ABS(D78)-ABS(C78))&gt;=R78, (ABS(D78)-ABS(C78))&gt;=ABS(C78)*Q78),(ABS(D78)-ABS(C78)),"---")))</f>
        <v>300</v>
      </c>
      <c r="F78" s="440" t="e">
        <f>IF(OR(#REF!="", E78=""),"",E78^I78*J78)</f>
        <v>#REF!</v>
      </c>
      <c r="G78" s="375">
        <f t="shared" ref="G78:G81" si="51">IF($E$11="m3/h",IF(H78="---","---",(H78*(1/0.58857777866))),IF($E$11="m3/s",IF(H78="---","---",FIXED((H78*0.0004719474432),5,FALSE)),IF($E$11="L/s",IF(H78="---","---",(H78*0.47194745)),"---")))</f>
        <v>15713.861361694188</v>
      </c>
      <c r="H78" s="522">
        <f>IF(E78="---","---", E78^I78*J78)</f>
        <v>9248.8296144371689</v>
      </c>
      <c r="I78" s="523">
        <v>0.53</v>
      </c>
      <c r="J78" s="341">
        <v>450</v>
      </c>
      <c r="K78" s="524"/>
      <c r="L78" s="524"/>
      <c r="M78" s="525"/>
      <c r="N78" s="526"/>
      <c r="O78" s="526"/>
      <c r="P78" s="526"/>
      <c r="Q78" s="527">
        <v>0.2</v>
      </c>
      <c r="R78" s="442">
        <v>10</v>
      </c>
      <c r="S78" s="443">
        <f>IF($Q78*S$77&gt;$R78, $Q78*S$77, $R78)</f>
        <v>50</v>
      </c>
      <c r="T78" s="444">
        <f>IF($Q78*T$77&gt;$R78, $Q78*T$77, $R78)</f>
        <v>100</v>
      </c>
      <c r="U78" s="446">
        <v>195</v>
      </c>
      <c r="V78" s="446">
        <v>105</v>
      </c>
      <c r="W78" s="528">
        <f t="shared" ref="W78:Z80" si="52">S78^$I78*$J78</f>
        <v>3578.2165169576538</v>
      </c>
      <c r="X78" s="528">
        <f>T78^$I78*$J78</f>
        <v>5166.6912967359749</v>
      </c>
      <c r="Y78" s="529">
        <f t="shared" si="52"/>
        <v>7360.8989838090019</v>
      </c>
      <c r="Z78" s="529">
        <f t="shared" si="52"/>
        <v>5302.0380764437959</v>
      </c>
      <c r="AB78" s="775"/>
      <c r="AC78" s="638"/>
      <c r="AD78" s="638"/>
      <c r="AE78" s="638"/>
      <c r="AF78" s="638"/>
      <c r="AG78" s="640">
        <f>IF('Flow charts'!$A$172=$S$77,Y78, IF('Flow charts'!$A$172=$T$77,Z78, "SELECT BP"))</f>
        <v>7360.8989838090019</v>
      </c>
      <c r="AH78" s="640">
        <f>IF('Flow charts'!$A$172=$S$77,W78, IF('Flow charts'!$A$172=$T$77,X78, "SELECT BP"))</f>
        <v>3578.2165169576538</v>
      </c>
      <c r="AI78" s="640">
        <f>AG78-AH78</f>
        <v>3782.6824668513482</v>
      </c>
      <c r="AJ78" s="638"/>
      <c r="AK78" s="638"/>
      <c r="AL78" s="638"/>
      <c r="AM78" s="638"/>
      <c r="AN78" s="638"/>
    </row>
    <row r="79" spans="1:50" ht="15" customHeight="1" x14ac:dyDescent="0.25">
      <c r="A79" s="885"/>
      <c r="B79" s="499" t="s">
        <v>11</v>
      </c>
      <c r="C79" s="250">
        <v>-25</v>
      </c>
      <c r="D79" s="254">
        <v>300</v>
      </c>
      <c r="E79" s="358">
        <f>IF(OR(C79="",D79="",D79&lt;0),"",        IF(AND(C79&gt;=0,D79&gt;=R79, D79&gt;=ABS(C79)*Q79),D79,         IF(AND(C79&lt;0, (ABS(D79)-ABS(C79))&gt;=R79, (ABS(D79)-ABS(C79))&gt;=ABS(C79)*Q79),(ABS(D79)-ABS(C79)),"---")))</f>
        <v>275</v>
      </c>
      <c r="F79" s="408" t="e">
        <f>IF(OR(#REF!="", E79=""),"",E79^I79*J79)</f>
        <v>#REF!</v>
      </c>
      <c r="G79" s="375">
        <f t="shared" si="51"/>
        <v>7769.5121403531366</v>
      </c>
      <c r="H79" s="530">
        <f>IF(E79="---","---", E79^I79*J79)</f>
        <v>4572.9621968409519</v>
      </c>
      <c r="I79" s="531">
        <v>0.48499999999999999</v>
      </c>
      <c r="J79" s="301">
        <v>300</v>
      </c>
      <c r="K79" s="376"/>
      <c r="L79" s="376"/>
      <c r="M79" s="532"/>
      <c r="N79" s="533"/>
      <c r="O79" s="533"/>
      <c r="P79" s="533"/>
      <c r="Q79" s="534">
        <v>0.2</v>
      </c>
      <c r="R79" s="350">
        <v>20</v>
      </c>
      <c r="S79" s="360">
        <f t="shared" ref="S79:T81" si="53">IF($Q79*S$77&gt;$R79, $Q79*S$77, $R79)</f>
        <v>50</v>
      </c>
      <c r="T79" s="361">
        <f t="shared" si="53"/>
        <v>100</v>
      </c>
      <c r="U79" s="363">
        <v>395</v>
      </c>
      <c r="V79" s="363">
        <v>213</v>
      </c>
      <c r="W79" s="535">
        <f>S79^$I79*$J79</f>
        <v>2000.4223900906072</v>
      </c>
      <c r="X79" s="535">
        <f t="shared" si="52"/>
        <v>2799.7629023909731</v>
      </c>
      <c r="Y79" s="536">
        <f t="shared" si="52"/>
        <v>5450.9330270758546</v>
      </c>
      <c r="Z79" s="536">
        <f t="shared" si="52"/>
        <v>4040.0371846142343</v>
      </c>
      <c r="AB79" s="775"/>
      <c r="AC79" s="638"/>
      <c r="AD79" s="638"/>
      <c r="AE79" s="638"/>
      <c r="AF79" s="638"/>
      <c r="AG79" s="640">
        <f>IF('Flow charts'!$A$172=$S$77,Y79, IF('Flow charts'!$A$172=$T$77,Z79, "SELECT BP"))</f>
        <v>5450.9330270758546</v>
      </c>
      <c r="AH79" s="640">
        <f>IF('Flow charts'!$A$172=$S$77,W79, IF('Flow charts'!$A$172=$T$77,X79, "SELECT BP"))</f>
        <v>2000.4223900906072</v>
      </c>
      <c r="AI79" s="640">
        <f>AG79-AH79</f>
        <v>3450.5106369852474</v>
      </c>
      <c r="AJ79" s="638"/>
      <c r="AK79" s="638"/>
      <c r="AL79" s="638"/>
      <c r="AM79" s="638"/>
      <c r="AN79" s="638"/>
    </row>
    <row r="80" spans="1:50" ht="15" customHeight="1" x14ac:dyDescent="0.25">
      <c r="A80" s="885"/>
      <c r="B80" s="495" t="s">
        <v>12</v>
      </c>
      <c r="C80" s="250">
        <v>25</v>
      </c>
      <c r="D80" s="254">
        <v>300</v>
      </c>
      <c r="E80" s="323">
        <f>IF(OR(C80="",D80="",D80&lt;0),"",        IF(AND(C80&gt;=0,D80&gt;=R80, D80&gt;=ABS(C80)*Q80),D80,         IF(AND(C80&lt;0, (ABS(D80)-ABS(C80))&gt;=R80, (ABS(D80)-ABS(C80))&gt;=ABS(C80)*Q80),(ABS(D80)-ABS(C80)),"---")))</f>
        <v>300</v>
      </c>
      <c r="F80" s="408" t="e">
        <f>IF(OR(#REF!="", E80=""),"",E80^I80*J80)</f>
        <v>#REF!</v>
      </c>
      <c r="G80" s="375">
        <f t="shared" si="51"/>
        <v>4188.9281554935842</v>
      </c>
      <c r="H80" s="537">
        <f>IF(E80="---","---", E80^I80*J80)</f>
        <v>2465.5100287267451</v>
      </c>
      <c r="I80" s="531">
        <v>0.52</v>
      </c>
      <c r="J80" s="301">
        <v>127</v>
      </c>
      <c r="K80" s="538"/>
      <c r="L80" s="538"/>
      <c r="M80" s="539"/>
      <c r="N80" s="540"/>
      <c r="O80" s="540"/>
      <c r="P80" s="540"/>
      <c r="Q80" s="541">
        <v>0.2</v>
      </c>
      <c r="R80" s="350">
        <v>15</v>
      </c>
      <c r="S80" s="360">
        <f t="shared" si="53"/>
        <v>50</v>
      </c>
      <c r="T80" s="361">
        <f t="shared" si="53"/>
        <v>100</v>
      </c>
      <c r="U80" s="363">
        <v>660</v>
      </c>
      <c r="V80" s="363">
        <v>330</v>
      </c>
      <c r="W80" s="535">
        <f>S80^$I80*$J80</f>
        <v>971.10932229488594</v>
      </c>
      <c r="X80" s="535">
        <f t="shared" si="52"/>
        <v>1392.5273091018455</v>
      </c>
      <c r="Y80" s="536">
        <f t="shared" si="52"/>
        <v>3715.0662892584696</v>
      </c>
      <c r="Z80" s="536">
        <f t="shared" si="52"/>
        <v>2590.7825885075763</v>
      </c>
      <c r="AB80" s="775"/>
      <c r="AC80" s="638"/>
      <c r="AD80" s="638"/>
      <c r="AE80" s="638"/>
      <c r="AF80" s="638"/>
      <c r="AG80" s="640">
        <f>IF('Flow charts'!$A$172=$S$77,Y80, IF('Flow charts'!$A$172=$T$77,Z80, "SELECT BP"))</f>
        <v>3715.0662892584696</v>
      </c>
      <c r="AH80" s="640">
        <f>IF('Flow charts'!$A$172=$S$77,W80, IF('Flow charts'!$A$172=$T$77,X80, "SELECT BP"))</f>
        <v>971.10932229488594</v>
      </c>
      <c r="AI80" s="640">
        <f>AG80-AH80</f>
        <v>2743.9569669635839</v>
      </c>
      <c r="AJ80" s="638"/>
      <c r="AK80" s="638"/>
      <c r="AL80" s="638"/>
      <c r="AM80" s="638"/>
      <c r="AN80" s="638"/>
    </row>
    <row r="81" spans="1:48" ht="15" customHeight="1" thickBot="1" x14ac:dyDescent="0.3">
      <c r="A81" s="886"/>
      <c r="B81" s="502" t="s">
        <v>13</v>
      </c>
      <c r="C81" s="252">
        <v>53.8</v>
      </c>
      <c r="D81" s="255">
        <v>47.6</v>
      </c>
      <c r="E81" s="433">
        <f>IF(OR(C81="",D81="",D81&lt;0),"",        IF(AND(C81&gt;=0,D81&gt;=R81, D81&gt;=ABS(C81)*Q81),D81,         IF(AND(C81&lt;0, (ABS(D81)-ABS(C81))&gt;=R81, (ABS(D81)-ABS(C81))&gt;=ABS(C81)*Q81),(ABS(D81)-ABS(C81)),"---")))</f>
        <v>47.6</v>
      </c>
      <c r="F81" s="542" t="e">
        <f>IF(OR(#REF!="", E81=""),"",E81^3*M81+E81^2*N81+E81*O81+P81+(K81-#REF!)*L81)</f>
        <v>#REF!</v>
      </c>
      <c r="G81" s="503">
        <f t="shared" si="51"/>
        <v>639.64535158334513</v>
      </c>
      <c r="H81" s="543">
        <f>IF(E81="---","---", E81^3*M81+E81^2*N81+E81*O81+P81+(K81-ABS(C81))*L81)</f>
        <v>376.48104016512002</v>
      </c>
      <c r="I81" s="544"/>
      <c r="J81" s="545"/>
      <c r="K81" s="381">
        <v>0</v>
      </c>
      <c r="L81" s="546">
        <v>0.7</v>
      </c>
      <c r="M81" s="547">
        <v>6.6200000000000001E-6</v>
      </c>
      <c r="N81" s="548">
        <v>-7.7999999999999996E-3</v>
      </c>
      <c r="O81" s="549">
        <v>4.75</v>
      </c>
      <c r="P81" s="550">
        <v>205</v>
      </c>
      <c r="Q81" s="551">
        <v>0.2</v>
      </c>
      <c r="R81" s="382">
        <v>25</v>
      </c>
      <c r="S81" s="314">
        <f t="shared" si="53"/>
        <v>50</v>
      </c>
      <c r="T81" s="315">
        <f t="shared" si="53"/>
        <v>100</v>
      </c>
      <c r="U81" s="552">
        <v>485</v>
      </c>
      <c r="V81" s="552">
        <v>425</v>
      </c>
      <c r="W81" s="553">
        <f>S81^3*$M81+S81^2*$N81+S81*$O81+$P81+($K81-ABS(W$77))*$L81</f>
        <v>248.82749999999999</v>
      </c>
      <c r="X81" s="553">
        <f>T81^3*$M81+T81^2*$N81+T81*$O81+$P81+($K81-ABS(X$77))*$L81</f>
        <v>258.62</v>
      </c>
      <c r="Y81" s="554">
        <f>U81^3*$M81+U81^2*$N81+U81*$O81+$P81+($K81-ABS(Y$77))*$L81</f>
        <v>1254.2319075</v>
      </c>
      <c r="Z81" s="554">
        <f>V81^3*$M81+V81^2*$N81+V81*$O81+$P81+($K81-ABS(Z$77))*$L81</f>
        <v>973.06343749999996</v>
      </c>
      <c r="AB81" s="775"/>
      <c r="AC81" s="638"/>
      <c r="AD81" s="638"/>
      <c r="AE81" s="638"/>
      <c r="AF81" s="638"/>
      <c r="AG81" s="640">
        <f>IF('Flow charts'!$A$172=$S$77,Y81, IF('Flow charts'!$A$172=$T$77,Z81, "SELECT BP"))</f>
        <v>1254.2319075</v>
      </c>
      <c r="AH81" s="640">
        <f>IF('Flow charts'!$A$172=$S$77,W81, IF('Flow charts'!$A$172=$T$77,X81, "SELECT BP"))</f>
        <v>248.82749999999999</v>
      </c>
      <c r="AI81" s="640">
        <f>AG81-AH81</f>
        <v>1005.4044075</v>
      </c>
      <c r="AJ81" s="638"/>
      <c r="AK81" s="638"/>
      <c r="AL81" s="638"/>
      <c r="AM81" s="638"/>
      <c r="AN81" s="638"/>
    </row>
    <row r="82" spans="1:48" s="263" customFormat="1" ht="15" customHeight="1" x14ac:dyDescent="0.25">
      <c r="AB82" s="775"/>
      <c r="AC82" s="638"/>
      <c r="AD82" s="638"/>
      <c r="AE82" s="638"/>
      <c r="AF82" s="638"/>
      <c r="AG82" s="638"/>
      <c r="AH82" s="638"/>
      <c r="AI82" s="638"/>
      <c r="AJ82" s="638"/>
      <c r="AK82" s="638"/>
      <c r="AL82" s="638"/>
      <c r="AM82" s="638"/>
      <c r="AN82" s="638"/>
      <c r="AO82" s="775"/>
      <c r="AP82" s="775"/>
      <c r="AQ82" s="775"/>
      <c r="AR82" s="775"/>
      <c r="AS82" s="775"/>
      <c r="AT82" s="775"/>
      <c r="AU82" s="775"/>
      <c r="AV82" s="775"/>
    </row>
    <row r="83" spans="1:48" s="263" customFormat="1" ht="15" customHeight="1" x14ac:dyDescent="0.25">
      <c r="AB83" s="775"/>
      <c r="AC83" s="638"/>
      <c r="AD83" s="638"/>
      <c r="AE83" s="638"/>
      <c r="AF83" s="638"/>
      <c r="AG83" s="638"/>
      <c r="AH83" s="638"/>
      <c r="AI83" s="638"/>
      <c r="AJ83" s="638"/>
      <c r="AK83" s="638"/>
      <c r="AL83" s="638"/>
      <c r="AM83" s="638"/>
      <c r="AN83" s="638"/>
      <c r="AO83" s="775"/>
      <c r="AP83" s="775"/>
      <c r="AQ83" s="775"/>
      <c r="AR83" s="775"/>
      <c r="AS83" s="775"/>
      <c r="AT83" s="775"/>
      <c r="AU83" s="775"/>
      <c r="AV83" s="775"/>
    </row>
    <row r="84" spans="1:48" s="269" customFormat="1" ht="201" customHeight="1" thickBot="1" x14ac:dyDescent="0.3">
      <c r="A84" s="905"/>
      <c r="B84" s="905"/>
      <c r="C84" s="905"/>
      <c r="D84" s="905"/>
      <c r="E84" s="905"/>
      <c r="F84" s="259"/>
      <c r="G84" s="866"/>
      <c r="H84" s="890" t="s">
        <v>134</v>
      </c>
      <c r="I84" s="890"/>
      <c r="J84" s="890"/>
      <c r="K84" s="890"/>
      <c r="L84" s="890"/>
      <c r="M84" s="890"/>
      <c r="N84" s="890"/>
      <c r="O84" s="263"/>
      <c r="P84" s="263"/>
      <c r="Q84" s="259"/>
      <c r="R84" s="259"/>
      <c r="W84" s="334"/>
      <c r="AB84" s="776"/>
      <c r="AC84" s="641"/>
      <c r="AD84" s="641"/>
      <c r="AE84" s="641"/>
      <c r="AF84" s="641"/>
      <c r="AG84" s="641"/>
      <c r="AH84" s="641"/>
      <c r="AI84" s="641"/>
      <c r="AJ84" s="641"/>
      <c r="AK84" s="641"/>
      <c r="AL84" s="641"/>
      <c r="AM84" s="641"/>
      <c r="AN84" s="641"/>
      <c r="AO84" s="776"/>
      <c r="AP84" s="776"/>
      <c r="AQ84" s="776"/>
      <c r="AR84" s="776"/>
      <c r="AS84" s="776"/>
      <c r="AT84" s="776"/>
      <c r="AU84" s="776"/>
      <c r="AV84" s="776"/>
    </row>
    <row r="85" spans="1:48" s="269" customFormat="1" ht="38.25" customHeight="1" thickBot="1" x14ac:dyDescent="0.3">
      <c r="A85" s="470"/>
      <c r="B85" s="459"/>
      <c r="C85" s="899" t="s">
        <v>28</v>
      </c>
      <c r="D85" s="900"/>
      <c r="E85" s="267" t="s">
        <v>103</v>
      </c>
      <c r="F85" s="259"/>
      <c r="G85" s="870"/>
      <c r="H85" s="891"/>
      <c r="I85" s="891"/>
      <c r="J85" s="891"/>
      <c r="K85" s="891"/>
      <c r="L85" s="891"/>
      <c r="M85" s="891"/>
      <c r="N85" s="891"/>
      <c r="O85" s="895" t="s">
        <v>74</v>
      </c>
      <c r="P85" s="895"/>
      <c r="Q85" s="895"/>
      <c r="R85" s="906" t="s">
        <v>77</v>
      </c>
      <c r="S85" s="906"/>
      <c r="T85" s="906"/>
      <c r="U85" s="895" t="s">
        <v>75</v>
      </c>
      <c r="V85" s="895"/>
      <c r="W85" s="895"/>
      <c r="X85" s="906" t="s">
        <v>76</v>
      </c>
      <c r="Y85" s="906"/>
      <c r="Z85" s="906"/>
      <c r="AB85" s="776"/>
      <c r="AC85" s="641"/>
      <c r="AD85" s="641"/>
      <c r="AE85" s="641"/>
      <c r="AF85" s="641"/>
      <c r="AG85" s="641"/>
      <c r="AH85" s="641"/>
      <c r="AI85" s="641"/>
      <c r="AJ85" s="641"/>
      <c r="AK85" s="641"/>
      <c r="AL85" s="641"/>
      <c r="AM85" s="641"/>
      <c r="AN85" s="641"/>
      <c r="AO85" s="776"/>
      <c r="AP85" s="776"/>
      <c r="AQ85" s="776"/>
      <c r="AR85" s="776"/>
      <c r="AS85" s="776"/>
      <c r="AT85" s="776"/>
      <c r="AU85" s="776"/>
      <c r="AV85" s="776"/>
    </row>
    <row r="86" spans="1:48" ht="50.25" customHeight="1" thickBot="1" x14ac:dyDescent="0.35">
      <c r="A86" s="270" t="s">
        <v>7</v>
      </c>
      <c r="B86" s="270" t="s">
        <v>8</v>
      </c>
      <c r="C86" s="555" t="s">
        <v>34</v>
      </c>
      <c r="D86" s="556" t="s">
        <v>30</v>
      </c>
      <c r="E86" s="557" t="s">
        <v>40</v>
      </c>
      <c r="F86" s="558" t="s">
        <v>27</v>
      </c>
      <c r="G86" s="275" t="str">
        <f>IF($E$11="m3/h","m3/h displayed on DM32",IF($E$11="m3/s","m3/s displayed on DM32",IF($E$11="L/s","L/s displayed on DM32","Metric displayed on DM32")))</f>
        <v>m3/h displayed on DM32</v>
      </c>
      <c r="H86" s="275" t="s">
        <v>26</v>
      </c>
      <c r="I86" s="276" t="s">
        <v>1</v>
      </c>
      <c r="J86" s="277" t="s">
        <v>0</v>
      </c>
      <c r="K86" s="277" t="s">
        <v>2</v>
      </c>
      <c r="L86" s="277" t="s">
        <v>5</v>
      </c>
      <c r="M86" s="277" t="s">
        <v>3</v>
      </c>
      <c r="N86" s="278" t="s">
        <v>6</v>
      </c>
      <c r="O86" s="559">
        <v>0</v>
      </c>
      <c r="P86" s="478">
        <v>50</v>
      </c>
      <c r="Q86" s="560">
        <v>75</v>
      </c>
      <c r="R86" s="561">
        <v>0</v>
      </c>
      <c r="S86" s="561">
        <v>50</v>
      </c>
      <c r="T86" s="561">
        <v>75</v>
      </c>
      <c r="U86" s="478">
        <v>0</v>
      </c>
      <c r="V86" s="478">
        <v>50</v>
      </c>
      <c r="W86" s="478">
        <v>75</v>
      </c>
      <c r="X86" s="561">
        <v>0</v>
      </c>
      <c r="Y86" s="561">
        <v>50</v>
      </c>
      <c r="Z86" s="561">
        <v>75</v>
      </c>
      <c r="AB86" s="775"/>
      <c r="AC86" s="638"/>
      <c r="AD86" s="638"/>
      <c r="AE86" s="638"/>
      <c r="AF86" s="638"/>
      <c r="AG86" s="638"/>
      <c r="AH86" s="638"/>
      <c r="AI86" s="638"/>
      <c r="AJ86" s="638"/>
      <c r="AK86" s="638"/>
      <c r="AL86" s="638"/>
      <c r="AM86" s="638"/>
      <c r="AN86" s="638"/>
    </row>
    <row r="87" spans="1:48" ht="15.75" customHeight="1" x14ac:dyDescent="0.25">
      <c r="A87" s="884" t="s">
        <v>113</v>
      </c>
      <c r="B87" s="562" t="s">
        <v>4</v>
      </c>
      <c r="C87" s="247">
        <v>-25</v>
      </c>
      <c r="D87" s="253">
        <v>145</v>
      </c>
      <c r="E87" s="387">
        <f>IF(OR(C87="",D87="",D87&lt;0),"",        IF(AND(C87&lt;=0,D87&gt;=N87, D87&gt;=ABS(C87)*L87),D87,         IF(AND(C87&gt;0, (ABS(D87)-C87)&gt;=N87, (ABS(D87)-C87)&gt;=ABS(C87)*L87),(ABS(D87)-C87),"---")))</f>
        <v>145</v>
      </c>
      <c r="F87" s="440" t="e">
        <f>IF(OR(#REF!="", E87=""),"",(E87-#REF!*K87)^I87*(J87+E87*M87))</f>
        <v>#REF!</v>
      </c>
      <c r="G87" s="375">
        <f t="shared" ref="G87:G97" si="54">IF($E$11="m3/h",IF(H87="---","---",(H87*(1/0.58857777866))),IF($E$11="m3/s",IF(H87="---","---",FIXED((H87*0.0004719474432),5,FALSE)),IF($E$11="L/s",IF(H87="---","---",(H87*0.47194745)),"---")))</f>
        <v>11517.785651535158</v>
      </c>
      <c r="H87" s="563">
        <f>IF(E87="---","---", (E87-ABS(C87)*K87)^I87*(J87+E87*M87))</f>
        <v>6779.1126938625848</v>
      </c>
      <c r="I87" s="507">
        <v>0.52139999999999997</v>
      </c>
      <c r="J87" s="754">
        <v>519.61829999999998</v>
      </c>
      <c r="K87" s="341">
        <v>-7.0000000000000007E-2</v>
      </c>
      <c r="L87" s="341">
        <v>0.8</v>
      </c>
      <c r="M87" s="565">
        <v>-0.115</v>
      </c>
      <c r="N87" s="566">
        <v>8.6</v>
      </c>
      <c r="O87" s="485">
        <f>IF($L87*O$86&gt;$N87, $L87*O$86, $N87)</f>
        <v>8.6</v>
      </c>
      <c r="P87" s="486">
        <f>IF($L87*P$86&gt;$N87, $L87*P$86, $N87)</f>
        <v>40</v>
      </c>
      <c r="Q87" s="487">
        <f>IF($L87*Q$86&gt;$N87, $L87*Q$86, $N87)</f>
        <v>60</v>
      </c>
      <c r="R87" s="295"/>
      <c r="S87" s="295"/>
      <c r="T87" s="295"/>
      <c r="U87" s="294">
        <f>($O87-ABS(U$86)*$K87)^$I87*($J87+$O87*$M87)</f>
        <v>1592.5920413665599</v>
      </c>
      <c r="V87" s="294">
        <f>($P87-ABS(V$86)*$K87)^$I87*($J87+$P87*$M87)</f>
        <v>3682.3999802347703</v>
      </c>
      <c r="W87" s="294">
        <f>($Q87-ABS(W$86)*$K87)^$I87*($J87+$Q87*$M87)</f>
        <v>4528.9872666190677</v>
      </c>
      <c r="X87" s="295"/>
      <c r="Y87" s="295"/>
      <c r="Z87" s="295"/>
      <c r="AA87" s="567"/>
      <c r="AB87" s="775"/>
      <c r="AC87" s="638"/>
      <c r="AD87" s="638"/>
      <c r="AE87" s="638"/>
      <c r="AF87" s="638"/>
      <c r="AG87" s="638" t="s">
        <v>105</v>
      </c>
      <c r="AH87" s="638"/>
      <c r="AI87" s="638"/>
      <c r="AJ87" s="638"/>
      <c r="AK87" s="638"/>
      <c r="AL87" s="638"/>
      <c r="AM87" s="638"/>
      <c r="AN87" s="638"/>
    </row>
    <row r="88" spans="1:48" ht="15.75" customHeight="1" x14ac:dyDescent="0.25">
      <c r="A88" s="885"/>
      <c r="B88" s="357" t="s">
        <v>55</v>
      </c>
      <c r="C88" s="250">
        <v>25</v>
      </c>
      <c r="D88" s="254">
        <v>300</v>
      </c>
      <c r="E88" s="430">
        <f t="shared" ref="E88:E97" si="55">IF(OR(C88="",D88="",D88&lt;0),"",        IF(AND(C88&lt;=0,D88&gt;=N88, D88&gt;=ABS(C88)*L88),D88,         IF(AND(C88&gt;0, (ABS(D88)-C88)&gt;=N88, (ABS(D88)-C88)&gt;=ABS(C88)*L88),(ABS(D88)-C88),"---")))</f>
        <v>275</v>
      </c>
      <c r="F88" s="408" t="e">
        <f>IF(OR(#REF!="", E88=""),"",(E88-#REF!*K88)^I88*(J88+E88*M88))</f>
        <v>#REF!</v>
      </c>
      <c r="G88" s="375">
        <f t="shared" si="54"/>
        <v>7619.1060060493946</v>
      </c>
      <c r="H88" s="568">
        <f>IF(E88="---","---", (E88-ABS(C88)*K88)^I88*(J88+E88*M88))</f>
        <v>4484.4364884156175</v>
      </c>
      <c r="I88" s="749">
        <v>0.503</v>
      </c>
      <c r="J88" s="751">
        <v>264.99590000000001</v>
      </c>
      <c r="K88" s="349">
        <v>-7.4999999999999997E-2</v>
      </c>
      <c r="L88" s="349">
        <v>1</v>
      </c>
      <c r="M88" s="569">
        <v>0</v>
      </c>
      <c r="N88" s="570">
        <v>12</v>
      </c>
      <c r="O88" s="360">
        <f t="shared" ref="O88:Q97" si="56">IF($L88*O$86&gt;$N88, $L88*O$86, $N88)</f>
        <v>12</v>
      </c>
      <c r="P88" s="361">
        <f t="shared" si="56"/>
        <v>50</v>
      </c>
      <c r="Q88" s="362">
        <f t="shared" si="56"/>
        <v>75</v>
      </c>
      <c r="R88" s="363"/>
      <c r="S88" s="363"/>
      <c r="T88" s="363"/>
      <c r="U88" s="510">
        <f t="shared" ref="U88:U97" si="57">($O88-ABS(U$86)*$K88)^$I88*($J88+$O88*$M88)</f>
        <v>924.84152546369035</v>
      </c>
      <c r="V88" s="510">
        <f t="shared" ref="V88:V97" si="58">($P88-ABS(V$86)*$K88)^$I88*($J88+$P88*$M88)</f>
        <v>1966.1630234802801</v>
      </c>
      <c r="W88" s="510">
        <f t="shared" ref="W88:W97" si="59">($Q88-ABS(W$86)*$K88)^$I88*($J88+$Q88*$M88)</f>
        <v>2410.9789999693917</v>
      </c>
      <c r="X88" s="363"/>
      <c r="Y88" s="363"/>
      <c r="Z88" s="363"/>
      <c r="AA88" s="571"/>
      <c r="AB88" s="775"/>
      <c r="AC88" s="638"/>
      <c r="AD88" s="638"/>
      <c r="AE88" s="638"/>
      <c r="AF88" s="638"/>
      <c r="AG88" s="638" t="s">
        <v>111</v>
      </c>
      <c r="AH88" s="638"/>
      <c r="AI88" s="638"/>
      <c r="AJ88" s="638"/>
      <c r="AK88" s="638"/>
      <c r="AL88" s="638"/>
      <c r="AM88" s="638"/>
      <c r="AN88" s="638"/>
    </row>
    <row r="89" spans="1:48" ht="15.75" customHeight="1" x14ac:dyDescent="0.25">
      <c r="A89" s="885"/>
      <c r="B89" s="572" t="s">
        <v>56</v>
      </c>
      <c r="C89" s="250">
        <v>25</v>
      </c>
      <c r="D89" s="254">
        <v>300</v>
      </c>
      <c r="E89" s="430">
        <f t="shared" si="55"/>
        <v>275</v>
      </c>
      <c r="F89" s="408" t="e">
        <f>IF(OR(#REF!="", E89=""),"",(E89-#REF!*K89)^I89*(J89+E89*M89))</f>
        <v>#REF!</v>
      </c>
      <c r="G89" s="375">
        <f t="shared" si="54"/>
        <v>4927.2952893104821</v>
      </c>
      <c r="H89" s="568">
        <f t="shared" ref="H89:H96" si="60">IF(E89="---","---", (E89-ABS(C89)*K89)^I89*(J89+E89*M89))</f>
        <v>2900.096516184246</v>
      </c>
      <c r="I89" s="749">
        <v>0.5</v>
      </c>
      <c r="J89" s="348">
        <v>174.88239999999999</v>
      </c>
      <c r="K89" s="349">
        <v>0</v>
      </c>
      <c r="L89" s="349">
        <v>0.3</v>
      </c>
      <c r="M89" s="569">
        <v>0</v>
      </c>
      <c r="N89" s="570">
        <v>10</v>
      </c>
      <c r="O89" s="360">
        <f t="shared" si="56"/>
        <v>10</v>
      </c>
      <c r="P89" s="361">
        <f t="shared" si="56"/>
        <v>15</v>
      </c>
      <c r="Q89" s="362">
        <f t="shared" si="56"/>
        <v>22.5</v>
      </c>
      <c r="R89" s="363"/>
      <c r="S89" s="363"/>
      <c r="T89" s="363"/>
      <c r="U89" s="510">
        <f t="shared" si="57"/>
        <v>553.02670667663062</v>
      </c>
      <c r="V89" s="510">
        <f t="shared" si="58"/>
        <v>677.3166227447839</v>
      </c>
      <c r="W89" s="510">
        <f t="shared" si="59"/>
        <v>829.54006001494588</v>
      </c>
      <c r="X89" s="363"/>
      <c r="Y89" s="363"/>
      <c r="Z89" s="363"/>
      <c r="AA89" s="567"/>
      <c r="AB89" s="775"/>
      <c r="AC89" s="638"/>
      <c r="AD89" s="638"/>
      <c r="AE89" s="638"/>
      <c r="AF89" s="638"/>
      <c r="AG89" s="638"/>
      <c r="AH89" s="638"/>
      <c r="AI89" s="638"/>
      <c r="AJ89" s="638"/>
      <c r="AK89" s="638"/>
      <c r="AL89" s="638"/>
      <c r="AM89" s="638"/>
      <c r="AN89" s="638"/>
    </row>
    <row r="90" spans="1:48" ht="15.75" customHeight="1" x14ac:dyDescent="0.25">
      <c r="A90" s="885"/>
      <c r="B90" s="357" t="s">
        <v>57</v>
      </c>
      <c r="C90" s="250">
        <v>25</v>
      </c>
      <c r="D90" s="254">
        <v>300</v>
      </c>
      <c r="E90" s="430">
        <f t="shared" si="55"/>
        <v>275</v>
      </c>
      <c r="F90" s="408" t="e">
        <f>IF(OR(#REF!="", E90=""),"",(E90-#REF!*K90)^I90*(J90+E90*M90))</f>
        <v>#REF!</v>
      </c>
      <c r="G90" s="375">
        <f t="shared" si="54"/>
        <v>2337.8221578451903</v>
      </c>
      <c r="H90" s="530">
        <f t="shared" si="60"/>
        <v>1375.9901725666502</v>
      </c>
      <c r="I90" s="749">
        <v>0.5</v>
      </c>
      <c r="J90" s="348">
        <v>78.5</v>
      </c>
      <c r="K90" s="349">
        <v>-0.02</v>
      </c>
      <c r="L90" s="349">
        <v>0.5</v>
      </c>
      <c r="M90" s="569">
        <v>1.6E-2</v>
      </c>
      <c r="N90" s="570">
        <v>10</v>
      </c>
      <c r="O90" s="336">
        <f t="shared" si="56"/>
        <v>10</v>
      </c>
      <c r="P90" s="351">
        <f t="shared" si="56"/>
        <v>25</v>
      </c>
      <c r="Q90" s="335">
        <f t="shared" si="56"/>
        <v>37.5</v>
      </c>
      <c r="R90" s="352"/>
      <c r="S90" s="352"/>
      <c r="T90" s="352"/>
      <c r="U90" s="512">
        <f t="shared" si="57"/>
        <v>248.74476074884473</v>
      </c>
      <c r="V90" s="512">
        <f t="shared" si="58"/>
        <v>402.31263962247073</v>
      </c>
      <c r="W90" s="512">
        <f t="shared" si="59"/>
        <v>493.97934167331329</v>
      </c>
      <c r="X90" s="352"/>
      <c r="Y90" s="352"/>
      <c r="Z90" s="352"/>
      <c r="AA90" s="567"/>
      <c r="AB90" s="775"/>
      <c r="AC90" s="638"/>
      <c r="AD90" s="638"/>
      <c r="AE90" s="638"/>
      <c r="AF90" s="638"/>
      <c r="AG90" s="638"/>
      <c r="AH90" s="638"/>
      <c r="AI90" s="638"/>
      <c r="AJ90" s="638"/>
      <c r="AK90" s="638"/>
      <c r="AL90" s="638"/>
      <c r="AM90" s="638"/>
      <c r="AN90" s="638"/>
    </row>
    <row r="91" spans="1:48" ht="15.75" customHeight="1" x14ac:dyDescent="0.25">
      <c r="A91" s="885"/>
      <c r="B91" s="573" t="s">
        <v>58</v>
      </c>
      <c r="C91" s="250">
        <v>25</v>
      </c>
      <c r="D91" s="254">
        <v>300</v>
      </c>
      <c r="E91" s="430">
        <f t="shared" si="55"/>
        <v>275</v>
      </c>
      <c r="F91" s="408" t="e">
        <f>IF(OR(#REF!="", E91=""),"",(E91-#REF!*K91)^I91*(J91+E91*M91))</f>
        <v>#REF!</v>
      </c>
      <c r="G91" s="375">
        <f t="shared" si="54"/>
        <v>1803.7005246040271</v>
      </c>
      <c r="H91" s="530">
        <f t="shared" si="60"/>
        <v>1061.6180481393151</v>
      </c>
      <c r="I91" s="749">
        <v>0.505</v>
      </c>
      <c r="J91" s="348">
        <v>61.3</v>
      </c>
      <c r="K91" s="349">
        <v>5.3999999999999999E-2</v>
      </c>
      <c r="L91" s="349">
        <v>0.5</v>
      </c>
      <c r="M91" s="569">
        <v>4.0000000000000001E-3</v>
      </c>
      <c r="N91" s="570">
        <v>10</v>
      </c>
      <c r="O91" s="360">
        <f t="shared" si="56"/>
        <v>10</v>
      </c>
      <c r="P91" s="361">
        <f t="shared" si="56"/>
        <v>25</v>
      </c>
      <c r="Q91" s="362">
        <f t="shared" si="56"/>
        <v>37.5</v>
      </c>
      <c r="R91" s="363"/>
      <c r="S91" s="363"/>
      <c r="T91" s="363"/>
      <c r="U91" s="510">
        <f t="shared" si="57"/>
        <v>196.22022602847034</v>
      </c>
      <c r="V91" s="510">
        <f t="shared" si="58"/>
        <v>294.48442274225471</v>
      </c>
      <c r="W91" s="510">
        <f t="shared" si="59"/>
        <v>361.69452002391199</v>
      </c>
      <c r="X91" s="363"/>
      <c r="Y91" s="363"/>
      <c r="Z91" s="363"/>
      <c r="AA91" s="567"/>
      <c r="AB91" s="775"/>
      <c r="AC91" s="638"/>
      <c r="AD91" s="638"/>
      <c r="AE91" s="638"/>
      <c r="AF91" s="638"/>
      <c r="AG91" s="638"/>
      <c r="AH91" s="638"/>
      <c r="AI91" s="638"/>
      <c r="AJ91" s="638"/>
      <c r="AK91" s="638"/>
      <c r="AL91" s="638"/>
      <c r="AM91" s="638"/>
      <c r="AN91" s="638"/>
    </row>
    <row r="92" spans="1:48" ht="15.75" customHeight="1" x14ac:dyDescent="0.25">
      <c r="A92" s="885"/>
      <c r="B92" s="574" t="s">
        <v>59</v>
      </c>
      <c r="C92" s="250">
        <v>25</v>
      </c>
      <c r="D92" s="254">
        <v>300</v>
      </c>
      <c r="E92" s="430">
        <f t="shared" si="55"/>
        <v>275</v>
      </c>
      <c r="F92" s="408" t="e">
        <f>IF(OR(#REF!="", E92=""),"",(E92-#REF!*K92)^I92*(J92+E92*M92))</f>
        <v>#REF!</v>
      </c>
      <c r="G92" s="375">
        <f t="shared" si="54"/>
        <v>1242.4127107337149</v>
      </c>
      <c r="H92" s="537">
        <f t="shared" si="60"/>
        <v>731.25651346259906</v>
      </c>
      <c r="I92" s="749">
        <v>0.50770000000000004</v>
      </c>
      <c r="J92" s="348">
        <v>42</v>
      </c>
      <c r="K92" s="349">
        <v>8.9999999999999993E-3</v>
      </c>
      <c r="L92" s="349">
        <v>0.5</v>
      </c>
      <c r="M92" s="569">
        <v>8.9999999999999998E-4</v>
      </c>
      <c r="N92" s="570">
        <v>10</v>
      </c>
      <c r="O92" s="336">
        <f t="shared" si="56"/>
        <v>10</v>
      </c>
      <c r="P92" s="351">
        <f t="shared" si="56"/>
        <v>25</v>
      </c>
      <c r="Q92" s="335">
        <f t="shared" si="56"/>
        <v>37.5</v>
      </c>
      <c r="R92" s="352"/>
      <c r="S92" s="352"/>
      <c r="T92" s="352"/>
      <c r="U92" s="512">
        <f t="shared" si="57"/>
        <v>135.22043961341475</v>
      </c>
      <c r="V92" s="512">
        <f t="shared" si="58"/>
        <v>213.40816455330273</v>
      </c>
      <c r="W92" s="512">
        <f t="shared" si="59"/>
        <v>262.25804163385158</v>
      </c>
      <c r="X92" s="352"/>
      <c r="Y92" s="352"/>
      <c r="Z92" s="352"/>
      <c r="AA92" s="567"/>
      <c r="AB92" s="775"/>
      <c r="AC92" s="638"/>
      <c r="AD92" s="638"/>
      <c r="AE92" s="638"/>
      <c r="AF92" s="638"/>
      <c r="AG92" s="638"/>
      <c r="AH92" s="638"/>
      <c r="AI92" s="638"/>
      <c r="AJ92" s="638"/>
      <c r="AK92" s="638"/>
      <c r="AL92" s="638"/>
      <c r="AM92" s="638"/>
      <c r="AN92" s="638"/>
    </row>
    <row r="93" spans="1:48" ht="15.75" customHeight="1" x14ac:dyDescent="0.25">
      <c r="A93" s="885"/>
      <c r="B93" s="573" t="s">
        <v>60</v>
      </c>
      <c r="C93" s="250">
        <v>25</v>
      </c>
      <c r="D93" s="254">
        <v>300</v>
      </c>
      <c r="E93" s="430">
        <f t="shared" si="55"/>
        <v>275</v>
      </c>
      <c r="F93" s="408" t="e">
        <f>IF(OR(#REF!="", E93=""),"",(E93-#REF!*K93)^I93*(J93+E93*M93))</f>
        <v>#REF!</v>
      </c>
      <c r="G93" s="375">
        <f t="shared" si="54"/>
        <v>681.30131237669445</v>
      </c>
      <c r="H93" s="568">
        <f t="shared" si="60"/>
        <v>400.99881303681764</v>
      </c>
      <c r="I93" s="749">
        <v>0.52</v>
      </c>
      <c r="J93" s="348">
        <v>22</v>
      </c>
      <c r="K93" s="349">
        <v>0.11</v>
      </c>
      <c r="L93" s="349">
        <v>0.5</v>
      </c>
      <c r="M93" s="569">
        <v>-1E-3</v>
      </c>
      <c r="N93" s="570">
        <v>10</v>
      </c>
      <c r="O93" s="360">
        <f t="shared" si="56"/>
        <v>10</v>
      </c>
      <c r="P93" s="361">
        <f t="shared" si="56"/>
        <v>25</v>
      </c>
      <c r="Q93" s="362">
        <f t="shared" si="56"/>
        <v>37.5</v>
      </c>
      <c r="R93" s="363"/>
      <c r="S93" s="363"/>
      <c r="T93" s="363"/>
      <c r="U93" s="510">
        <f t="shared" si="57"/>
        <v>72.815733614021795</v>
      </c>
      <c r="V93" s="510">
        <f t="shared" si="58"/>
        <v>102.97857590452337</v>
      </c>
      <c r="W93" s="510">
        <f t="shared" si="59"/>
        <v>127.0770800432384</v>
      </c>
      <c r="X93" s="363"/>
      <c r="Y93" s="363"/>
      <c r="Z93" s="363"/>
      <c r="AA93" s="567"/>
      <c r="AB93" s="775"/>
      <c r="AC93" s="638"/>
      <c r="AD93" s="638"/>
      <c r="AE93" s="638"/>
      <c r="AF93" s="638"/>
      <c r="AG93" s="638"/>
      <c r="AH93" s="638"/>
      <c r="AI93" s="638"/>
      <c r="AJ93" s="638"/>
      <c r="AK93" s="638"/>
      <c r="AL93" s="638"/>
      <c r="AM93" s="638"/>
      <c r="AN93" s="638"/>
    </row>
    <row r="94" spans="1:48" ht="15.75" customHeight="1" x14ac:dyDescent="0.25">
      <c r="A94" s="885"/>
      <c r="B94" s="459" t="s">
        <v>61</v>
      </c>
      <c r="C94" s="250">
        <v>25</v>
      </c>
      <c r="D94" s="254">
        <v>300</v>
      </c>
      <c r="E94" s="430">
        <f t="shared" si="55"/>
        <v>275</v>
      </c>
      <c r="F94" s="408" t="e">
        <f>IF(OR(#REF!="", E94=""),"",(E94-#REF!*K94)^I94*(J94+E94*M94))</f>
        <v>#REF!</v>
      </c>
      <c r="G94" s="375">
        <f t="shared" si="54"/>
        <v>406.67387700659305</v>
      </c>
      <c r="H94" s="568">
        <f t="shared" si="60"/>
        <v>239.3592071675906</v>
      </c>
      <c r="I94" s="749">
        <v>0.54100000000000004</v>
      </c>
      <c r="J94" s="751">
        <v>11.9239</v>
      </c>
      <c r="K94" s="349">
        <v>0.13</v>
      </c>
      <c r="L94" s="349">
        <v>0.4</v>
      </c>
      <c r="M94" s="569">
        <v>-1.4E-3</v>
      </c>
      <c r="N94" s="570">
        <v>10</v>
      </c>
      <c r="O94" s="336">
        <f t="shared" si="56"/>
        <v>10</v>
      </c>
      <c r="P94" s="351">
        <f t="shared" si="56"/>
        <v>20</v>
      </c>
      <c r="Q94" s="335">
        <f t="shared" si="56"/>
        <v>30</v>
      </c>
      <c r="R94" s="352"/>
      <c r="S94" s="352"/>
      <c r="T94" s="352"/>
      <c r="U94" s="512">
        <f t="shared" si="57"/>
        <v>41.39120929172438</v>
      </c>
      <c r="V94" s="512">
        <f t="shared" si="58"/>
        <v>48.630403550205621</v>
      </c>
      <c r="W94" s="512">
        <f t="shared" si="59"/>
        <v>60.486970434198767</v>
      </c>
      <c r="X94" s="352"/>
      <c r="Y94" s="352"/>
      <c r="Z94" s="352"/>
      <c r="AA94" s="567"/>
      <c r="AB94" s="775"/>
      <c r="AC94" s="638"/>
      <c r="AD94" s="638"/>
      <c r="AE94" s="638"/>
      <c r="AF94" s="638"/>
      <c r="AG94" s="638"/>
      <c r="AH94" s="638"/>
      <c r="AI94" s="638"/>
      <c r="AJ94" s="638"/>
      <c r="AK94" s="638"/>
      <c r="AL94" s="638"/>
      <c r="AM94" s="638"/>
      <c r="AN94" s="638"/>
    </row>
    <row r="95" spans="1:48" ht="15.75" customHeight="1" x14ac:dyDescent="0.25">
      <c r="A95" s="885"/>
      <c r="B95" s="431" t="s">
        <v>62</v>
      </c>
      <c r="C95" s="250">
        <v>25</v>
      </c>
      <c r="D95" s="254">
        <v>300</v>
      </c>
      <c r="E95" s="430">
        <f t="shared" si="55"/>
        <v>275</v>
      </c>
      <c r="F95" s="408" t="e">
        <f>IF(OR(#REF!="", E95=""),"",(E95-#REF!*K95)^I95*(J95+E95*M95))</f>
        <v>#REF!</v>
      </c>
      <c r="G95" s="375">
        <f t="shared" si="54"/>
        <v>105.98623980198475</v>
      </c>
      <c r="H95" s="568">
        <f t="shared" si="60"/>
        <v>62.381145591178267</v>
      </c>
      <c r="I95" s="749">
        <v>0.48</v>
      </c>
      <c r="J95" s="752">
        <v>4.0994999999999999</v>
      </c>
      <c r="K95" s="349">
        <v>3.0000000000000001E-3</v>
      </c>
      <c r="L95" s="349">
        <v>1</v>
      </c>
      <c r="M95" s="569">
        <v>4.0000000000000002E-4</v>
      </c>
      <c r="N95" s="570">
        <v>10</v>
      </c>
      <c r="O95" s="360">
        <f t="shared" si="56"/>
        <v>10</v>
      </c>
      <c r="P95" s="361">
        <f t="shared" si="56"/>
        <v>50</v>
      </c>
      <c r="Q95" s="362">
        <f t="shared" si="56"/>
        <v>75</v>
      </c>
      <c r="R95" s="363"/>
      <c r="S95" s="363"/>
      <c r="T95" s="363"/>
      <c r="U95" s="510">
        <f t="shared" si="57"/>
        <v>12.392371884669673</v>
      </c>
      <c r="V95" s="510">
        <f t="shared" si="58"/>
        <v>26.898235106975161</v>
      </c>
      <c r="W95" s="510">
        <f t="shared" si="59"/>
        <v>32.756730893711762</v>
      </c>
      <c r="X95" s="363"/>
      <c r="Y95" s="363"/>
      <c r="Z95" s="363"/>
      <c r="AA95" s="567"/>
      <c r="AB95" s="775"/>
      <c r="AC95" s="638"/>
      <c r="AD95" s="638"/>
      <c r="AE95" s="638"/>
      <c r="AF95" s="638"/>
      <c r="AG95" s="638"/>
      <c r="AH95" s="638"/>
      <c r="AI95" s="638"/>
      <c r="AJ95" s="638"/>
      <c r="AK95" s="638"/>
      <c r="AL95" s="638"/>
      <c r="AM95" s="638"/>
      <c r="AN95" s="638"/>
    </row>
    <row r="96" spans="1:48" ht="15.75" customHeight="1" x14ac:dyDescent="0.25">
      <c r="A96" s="885"/>
      <c r="B96" s="357" t="s">
        <v>63</v>
      </c>
      <c r="C96" s="250">
        <v>25</v>
      </c>
      <c r="D96" s="254">
        <v>300</v>
      </c>
      <c r="E96" s="430">
        <f t="shared" si="55"/>
        <v>275</v>
      </c>
      <c r="F96" s="408" t="e">
        <f>IF(OR(#REF!="", E96=""),"",(E96-#REF!*K96)^I96*(J96+E96*M96))</f>
        <v>#REF!</v>
      </c>
      <c r="G96" s="375">
        <f t="shared" si="54"/>
        <v>59.701791540875604</v>
      </c>
      <c r="H96" s="530">
        <f t="shared" si="60"/>
        <v>35.139147847150944</v>
      </c>
      <c r="I96" s="749">
        <v>0.502</v>
      </c>
      <c r="J96" s="752">
        <v>2.0678000000000001</v>
      </c>
      <c r="K96" s="349">
        <v>0</v>
      </c>
      <c r="L96" s="349">
        <v>0.5</v>
      </c>
      <c r="M96" s="569">
        <v>1E-4</v>
      </c>
      <c r="N96" s="570">
        <v>10</v>
      </c>
      <c r="O96" s="360">
        <f t="shared" si="56"/>
        <v>10</v>
      </c>
      <c r="P96" s="361">
        <f t="shared" si="56"/>
        <v>25</v>
      </c>
      <c r="Q96" s="362">
        <f t="shared" si="56"/>
        <v>37.5</v>
      </c>
      <c r="R96" s="363"/>
      <c r="S96" s="363"/>
      <c r="T96" s="363"/>
      <c r="U96" s="365">
        <f t="shared" si="57"/>
        <v>6.5723170773602462</v>
      </c>
      <c r="V96" s="510">
        <f t="shared" si="58"/>
        <v>10.418355354386694</v>
      </c>
      <c r="W96" s="510">
        <f t="shared" si="59"/>
        <v>12.777889157933513</v>
      </c>
      <c r="X96" s="363"/>
      <c r="Y96" s="363"/>
      <c r="Z96" s="363"/>
      <c r="AA96" s="575"/>
      <c r="AB96" s="776"/>
      <c r="AC96" s="641"/>
      <c r="AD96" s="641"/>
      <c r="AE96" s="787"/>
      <c r="AF96" s="638"/>
      <c r="AG96" s="638"/>
      <c r="AH96" s="638"/>
      <c r="AI96" s="638"/>
      <c r="AJ96" s="638"/>
      <c r="AK96" s="638"/>
      <c r="AL96" s="638"/>
      <c r="AM96" s="638"/>
      <c r="AN96" s="638"/>
    </row>
    <row r="97" spans="1:40" ht="15.75" customHeight="1" thickBot="1" x14ac:dyDescent="0.3">
      <c r="A97" s="886"/>
      <c r="B97" s="377" t="s">
        <v>64</v>
      </c>
      <c r="C97" s="256">
        <v>25</v>
      </c>
      <c r="D97" s="257">
        <v>300</v>
      </c>
      <c r="E97" s="309">
        <f t="shared" si="55"/>
        <v>275</v>
      </c>
      <c r="F97" s="542" t="e">
        <f>IF(OR(#REF!="", E97=""),"",(E97-#REF!*K97)^I97*(J97+E97*M97))</f>
        <v>#REF!</v>
      </c>
      <c r="G97" s="375">
        <f t="shared" si="54"/>
        <v>31.971239213925863</v>
      </c>
      <c r="H97" s="543">
        <f>IF(E97="---","---", (E97-ABS(C97)*K97)^I97*(J97+E97*M97))</f>
        <v>18.817560957539971</v>
      </c>
      <c r="I97" s="750">
        <v>0.49249999999999999</v>
      </c>
      <c r="J97" s="753">
        <v>1.1614</v>
      </c>
      <c r="K97" s="313">
        <v>0.1</v>
      </c>
      <c r="L97" s="313">
        <v>0.5</v>
      </c>
      <c r="M97" s="576">
        <v>1E-4</v>
      </c>
      <c r="N97" s="577">
        <v>10</v>
      </c>
      <c r="O97" s="314">
        <f t="shared" si="56"/>
        <v>10</v>
      </c>
      <c r="P97" s="315">
        <f t="shared" si="56"/>
        <v>25</v>
      </c>
      <c r="Q97" s="315">
        <f t="shared" si="56"/>
        <v>37.5</v>
      </c>
      <c r="R97" s="321"/>
      <c r="S97" s="321"/>
      <c r="T97" s="321"/>
      <c r="U97" s="384">
        <f t="shared" si="57"/>
        <v>3.6128971733443667</v>
      </c>
      <c r="V97" s="384">
        <f t="shared" si="58"/>
        <v>5.0894744801957508</v>
      </c>
      <c r="W97" s="384">
        <f t="shared" si="59"/>
        <v>6.2210552366904741</v>
      </c>
      <c r="X97" s="321"/>
      <c r="Y97" s="352"/>
      <c r="Z97" s="321"/>
      <c r="AA97" s="575"/>
      <c r="AB97" s="776"/>
      <c r="AC97" s="641"/>
      <c r="AD97" s="641"/>
      <c r="AE97" s="787"/>
      <c r="AF97" s="638"/>
      <c r="AG97" s="638"/>
      <c r="AH97" s="638"/>
      <c r="AI97" s="638"/>
      <c r="AJ97" s="638"/>
      <c r="AK97" s="638"/>
      <c r="AL97" s="638"/>
      <c r="AM97" s="638"/>
      <c r="AN97" s="638"/>
    </row>
    <row r="98" spans="1:40" ht="28.5" customHeight="1" thickBot="1" x14ac:dyDescent="0.3">
      <c r="A98" s="470"/>
      <c r="B98" s="459"/>
      <c r="C98" s="578"/>
      <c r="D98" s="579"/>
      <c r="E98" s="879"/>
      <c r="F98" s="581"/>
      <c r="G98" s="871"/>
      <c r="H98" s="563"/>
      <c r="I98" s="582"/>
      <c r="J98" s="583"/>
      <c r="K98" s="584"/>
      <c r="L98" s="584"/>
      <c r="M98" s="584"/>
      <c r="N98" s="334"/>
      <c r="O98" s="334"/>
      <c r="P98" s="334"/>
      <c r="Q98" s="334"/>
      <c r="R98" s="585"/>
      <c r="S98" s="931" t="s">
        <v>74</v>
      </c>
      <c r="T98" s="932"/>
      <c r="U98" s="933"/>
      <c r="V98" s="909" t="s">
        <v>77</v>
      </c>
      <c r="W98" s="910"/>
      <c r="X98" s="911"/>
      <c r="Y98" s="907" t="s">
        <v>75</v>
      </c>
      <c r="Z98" s="908"/>
      <c r="AA98" s="912"/>
      <c r="AB98" s="934" t="s">
        <v>76</v>
      </c>
      <c r="AC98" s="935"/>
      <c r="AD98" s="936"/>
      <c r="AE98" s="787"/>
      <c r="AF98" s="638"/>
      <c r="AG98" s="638"/>
      <c r="AH98" s="638"/>
      <c r="AI98" s="638"/>
      <c r="AJ98" s="638"/>
      <c r="AK98" s="638"/>
      <c r="AL98" s="638"/>
      <c r="AM98" s="638"/>
      <c r="AN98" s="638"/>
    </row>
    <row r="99" spans="1:40" ht="32.25" customHeight="1" thickBot="1" x14ac:dyDescent="0.35">
      <c r="A99" s="470"/>
      <c r="B99" s="459"/>
      <c r="C99" s="586"/>
      <c r="D99" s="587"/>
      <c r="E99" s="880"/>
      <c r="F99" s="581"/>
      <c r="G99" s="878"/>
      <c r="H99" s="588"/>
      <c r="I99" s="517" t="s">
        <v>1</v>
      </c>
      <c r="J99" s="517" t="s">
        <v>0</v>
      </c>
      <c r="K99" s="517" t="s">
        <v>19</v>
      </c>
      <c r="L99" s="517" t="s">
        <v>20</v>
      </c>
      <c r="M99" s="517" t="s">
        <v>21</v>
      </c>
      <c r="N99" s="517" t="s">
        <v>22</v>
      </c>
      <c r="O99" s="517" t="s">
        <v>23</v>
      </c>
      <c r="P99" s="517" t="s">
        <v>24</v>
      </c>
      <c r="Q99" s="517" t="s">
        <v>25</v>
      </c>
      <c r="R99" s="518" t="s">
        <v>6</v>
      </c>
      <c r="S99" s="589">
        <v>0</v>
      </c>
      <c r="T99" s="589">
        <v>50</v>
      </c>
      <c r="U99" s="589">
        <v>75</v>
      </c>
      <c r="V99" s="590">
        <v>0</v>
      </c>
      <c r="W99" s="590">
        <v>50</v>
      </c>
      <c r="X99" s="561">
        <v>75</v>
      </c>
      <c r="Y99" s="589">
        <v>0</v>
      </c>
      <c r="Z99" s="589">
        <v>50</v>
      </c>
      <c r="AA99" s="589">
        <v>75</v>
      </c>
      <c r="AB99" s="789">
        <v>0</v>
      </c>
      <c r="AC99" s="789">
        <v>50</v>
      </c>
      <c r="AD99" s="789">
        <v>75</v>
      </c>
      <c r="AE99" s="638"/>
      <c r="AF99" s="638"/>
      <c r="AG99" s="636" t="s">
        <v>82</v>
      </c>
      <c r="AH99" s="636" t="s">
        <v>83</v>
      </c>
      <c r="AI99" s="636" t="s">
        <v>80</v>
      </c>
      <c r="AJ99" s="638"/>
      <c r="AK99" s="638"/>
      <c r="AL99" s="638"/>
      <c r="AM99" s="638"/>
      <c r="AN99" s="638"/>
    </row>
    <row r="100" spans="1:40" ht="15.75" customHeight="1" x14ac:dyDescent="0.25">
      <c r="A100" s="884">
        <v>5000</v>
      </c>
      <c r="B100" s="521" t="s">
        <v>4</v>
      </c>
      <c r="C100" s="247">
        <v>-50</v>
      </c>
      <c r="D100" s="247">
        <v>70</v>
      </c>
      <c r="E100" s="387">
        <f>IF(OR(C100="",D100="",D100&lt;0),"",        IF(AND(C100&lt;=0,D100&gt;=R100, D100&gt;=ABS(C100)*Q100),D100,         IF(AND(C100&gt;0, (ABS(D100)-C100)&gt;=R100, (ABS(D100)-C100)&gt;=ABS(C100)*Q100),(ABS(D100)-C100),"---")))</f>
        <v>70</v>
      </c>
      <c r="F100" s="440" t="e">
        <f>IF(OR(#REF!="", E100=""),"",E100^I100*J100)</f>
        <v>#REF!</v>
      </c>
      <c r="G100" s="373">
        <f t="shared" ref="G100:G118" si="61">IF($E$11="m3/h",IF(H100="---","---",(H100*(1/0.58857777866))),IF($E$11="m3/s",IF(H100="---","---",FIXED((H100*0.0004719474432),5,FALSE)),IF($E$11="L/s",IF(H100="---","---",(H100*0.47194745)),"---")))</f>
        <v>7723.8800526709301</v>
      </c>
      <c r="H100" s="563">
        <f>IF(E100="---","---", E100^I100*J100)</f>
        <v>4546.1041640373405</v>
      </c>
      <c r="I100" s="441">
        <v>0.498</v>
      </c>
      <c r="J100" s="564">
        <v>548</v>
      </c>
      <c r="K100" s="341"/>
      <c r="L100" s="341"/>
      <c r="M100" s="565"/>
      <c r="N100" s="591"/>
      <c r="O100" s="591"/>
      <c r="P100" s="591"/>
      <c r="Q100" s="527">
        <v>0.3</v>
      </c>
      <c r="R100" s="442">
        <v>10</v>
      </c>
      <c r="S100" s="443">
        <f>IF($Q100*S$99&gt;$R100, $Q100*S$99, $R100)</f>
        <v>10</v>
      </c>
      <c r="T100" s="444">
        <f>IF($Q100*T$99&gt;$R100, $Q100*T$99, $R100)</f>
        <v>15</v>
      </c>
      <c r="U100" s="444">
        <f>IF($Q100*U$99&gt;$R100, $Q100*U$99, $R100)</f>
        <v>22.5</v>
      </c>
      <c r="V100" s="446">
        <v>140</v>
      </c>
      <c r="W100" s="446">
        <v>110</v>
      </c>
      <c r="X100" s="446">
        <f>V100*0.7</f>
        <v>98</v>
      </c>
      <c r="Y100" s="528">
        <f t="shared" ref="Y100:AD102" si="62">S100^$I100*$J100</f>
        <v>1724.9660761275211</v>
      </c>
      <c r="Z100" s="528">
        <f t="shared" si="62"/>
        <v>2110.9308431866061</v>
      </c>
      <c r="AA100" s="528">
        <f t="shared" si="62"/>
        <v>2583.2560340665477</v>
      </c>
      <c r="AB100" s="790">
        <f t="shared" si="62"/>
        <v>6420.2556284536058</v>
      </c>
      <c r="AC100" s="790">
        <f t="shared" si="62"/>
        <v>5693.6939060455761</v>
      </c>
      <c r="AD100" s="790">
        <f t="shared" si="62"/>
        <v>5375.4044212380686</v>
      </c>
      <c r="AE100" s="638"/>
      <c r="AF100" s="638"/>
      <c r="AG100" s="640">
        <f>IF('Flow charts'!$A$205=$S$99,AB100, IF('Flow charts'!$A$205=$T$99,AC100, IF('Flow charts'!$A$205=$U$99,AD100,"SELECT BP")))</f>
        <v>5693.6939060455761</v>
      </c>
      <c r="AH100" s="640">
        <f>IF('Flow charts'!$A$205=$S$99,Y100, IF('Flow charts'!$A$205=$T$99,Z100, IF('Flow charts'!$A$205=$U$99,AA100,"SELECT BP")))</f>
        <v>2110.9308431866061</v>
      </c>
      <c r="AI100" s="640">
        <f>AG100-AH100</f>
        <v>3582.76306285897</v>
      </c>
      <c r="AJ100" s="638"/>
      <c r="AK100" s="638"/>
      <c r="AL100" s="638"/>
      <c r="AM100" s="638"/>
      <c r="AN100" s="638"/>
    </row>
    <row r="101" spans="1:40" ht="17.25" customHeight="1" x14ac:dyDescent="0.25">
      <c r="A101" s="885"/>
      <c r="B101" s="457" t="s">
        <v>11</v>
      </c>
      <c r="C101" s="250">
        <v>-50</v>
      </c>
      <c r="D101" s="250">
        <v>70</v>
      </c>
      <c r="E101" s="430">
        <f t="shared" ref="E101:E118" si="63">IF(OR(C101="",D101="",D101&lt;0),"",        IF(AND(C101&lt;=0,D101&gt;=R101, D101&gt;=ABS(C101)*Q101),D101,         IF(AND(C101&gt;0, (ABS(D101)-C101)&gt;=R101, (ABS(D101)-C101)&gt;=ABS(C101)*Q101),(ABS(D101)-C101),"---")))</f>
        <v>70</v>
      </c>
      <c r="F101" s="408" t="e">
        <f>IF(OR(#REF!="", E101=""),"",E101^I101*J101)</f>
        <v>#REF!</v>
      </c>
      <c r="G101" s="375">
        <f t="shared" si="61"/>
        <v>4114.5017486187389</v>
      </c>
      <c r="H101" s="568">
        <f>IF(E101="---","---", E101^I101*J101)</f>
        <v>2421.7042994947033</v>
      </c>
      <c r="I101" s="369">
        <v>0.502</v>
      </c>
      <c r="J101" s="593">
        <v>287</v>
      </c>
      <c r="K101" s="301"/>
      <c r="L101" s="301"/>
      <c r="M101" s="428"/>
      <c r="N101" s="594"/>
      <c r="O101" s="594"/>
      <c r="P101" s="594"/>
      <c r="Q101" s="534">
        <v>0.4</v>
      </c>
      <c r="R101" s="350">
        <v>20</v>
      </c>
      <c r="S101" s="360">
        <f t="shared" ref="S101:U108" si="64">IF($Q101*S$99&gt;$R101, $Q101*S$99, $R101)</f>
        <v>20</v>
      </c>
      <c r="T101" s="361">
        <f t="shared" si="64"/>
        <v>20</v>
      </c>
      <c r="U101" s="361">
        <f t="shared" si="64"/>
        <v>30</v>
      </c>
      <c r="V101" s="363">
        <v>236</v>
      </c>
      <c r="W101" s="595">
        <v>218.25</v>
      </c>
      <c r="X101" s="363">
        <f>V101*0.7</f>
        <v>165.2</v>
      </c>
      <c r="Y101" s="535">
        <f t="shared" si="62"/>
        <v>1291.2161653674448</v>
      </c>
      <c r="Z101" s="535">
        <f t="shared" si="62"/>
        <v>1291.2161653674448</v>
      </c>
      <c r="AA101" s="535">
        <f t="shared" si="62"/>
        <v>1582.6933099646403</v>
      </c>
      <c r="AB101" s="791">
        <f t="shared" si="62"/>
        <v>4457.4216919750024</v>
      </c>
      <c r="AC101" s="791">
        <f t="shared" si="62"/>
        <v>4285.8496475087759</v>
      </c>
      <c r="AD101" s="791">
        <f t="shared" si="62"/>
        <v>3726.6871707843916</v>
      </c>
      <c r="AE101" s="638"/>
      <c r="AF101" s="638"/>
      <c r="AG101" s="640">
        <f>IF('Flow charts'!$A$205=$S$99,AB101, IF('Flow charts'!$A$205=$T$99,AC101, IF('Flow charts'!$A$205=$U$99,AD101,"SELECT BP")))</f>
        <v>4285.8496475087759</v>
      </c>
      <c r="AH101" s="640">
        <f>IF('Flow charts'!$A$205=$S$99,Y101, IF('Flow charts'!$A$205=$T$99,Z101, IF('Flow charts'!$A$205=$U$99,AA101,"SELECT BP")))</f>
        <v>1291.2161653674448</v>
      </c>
      <c r="AI101" s="640">
        <f t="shared" ref="AI101:AI108" si="65">AG101-AH101</f>
        <v>2994.6334821413311</v>
      </c>
      <c r="AJ101" s="638"/>
      <c r="AK101" s="638"/>
      <c r="AL101" s="638"/>
      <c r="AM101" s="638"/>
      <c r="AN101" s="638"/>
    </row>
    <row r="102" spans="1:40" ht="17.25" customHeight="1" x14ac:dyDescent="0.25">
      <c r="A102" s="885"/>
      <c r="B102" s="572" t="s">
        <v>12</v>
      </c>
      <c r="C102" s="250">
        <v>50</v>
      </c>
      <c r="D102" s="250">
        <v>160</v>
      </c>
      <c r="E102" s="430">
        <f t="shared" si="63"/>
        <v>110</v>
      </c>
      <c r="F102" s="408" t="e">
        <f>IF(OR(#REF!="", E102=""),"",E102^I102*J102)</f>
        <v>#REF!</v>
      </c>
      <c r="G102" s="375">
        <f t="shared" si="61"/>
        <v>2435.490271198149</v>
      </c>
      <c r="H102" s="568">
        <f>IF(E102="---","---", E102^I102*J102)</f>
        <v>1433.4754537698477</v>
      </c>
      <c r="I102" s="369">
        <v>0.54</v>
      </c>
      <c r="J102" s="596">
        <v>113.25</v>
      </c>
      <c r="K102" s="301"/>
      <c r="L102" s="301"/>
      <c r="M102" s="428"/>
      <c r="N102" s="594"/>
      <c r="O102" s="594"/>
      <c r="P102" s="594"/>
      <c r="Q102" s="534">
        <v>0.7</v>
      </c>
      <c r="R102" s="350">
        <v>40</v>
      </c>
      <c r="S102" s="336">
        <f t="shared" si="64"/>
        <v>40</v>
      </c>
      <c r="T102" s="351">
        <f>IF($Q102*T$99&gt;$R102, $Q102*T$99, $R102)</f>
        <v>40</v>
      </c>
      <c r="U102" s="351">
        <f>IF($Q102*U$99&gt;$R102, $Q102*U$99, $R102)</f>
        <v>52.5</v>
      </c>
      <c r="V102" s="352">
        <v>372</v>
      </c>
      <c r="W102" s="352">
        <v>307.5</v>
      </c>
      <c r="X102" s="352">
        <f>V102*0.7</f>
        <v>260.39999999999998</v>
      </c>
      <c r="Y102" s="597">
        <f t="shared" si="62"/>
        <v>830.13859566929511</v>
      </c>
      <c r="Z102" s="597">
        <f t="shared" si="62"/>
        <v>830.13859566929511</v>
      </c>
      <c r="AA102" s="597">
        <f t="shared" si="62"/>
        <v>961.44453354661653</v>
      </c>
      <c r="AB102" s="792">
        <f t="shared" si="62"/>
        <v>2767.7789257156091</v>
      </c>
      <c r="AC102" s="792">
        <f t="shared" si="62"/>
        <v>2497.322186711719</v>
      </c>
      <c r="AD102" s="792">
        <f t="shared" si="62"/>
        <v>2282.8866048682298</v>
      </c>
      <c r="AE102" s="638"/>
      <c r="AF102" s="638"/>
      <c r="AG102" s="640">
        <f>IF('Flow charts'!$A$205=$S$99,AB102, IF('Flow charts'!$A$205=$T$99,AC102, IF('Flow charts'!$A$205=$U$99,AD102,"SELECT BP")))</f>
        <v>2497.322186711719</v>
      </c>
      <c r="AH102" s="640">
        <f>IF('Flow charts'!$A$205=$S$99,Y102, IF('Flow charts'!$A$205=$T$99,Z102, IF('Flow charts'!$A$205=$U$99,AA102,"SELECT BP")))</f>
        <v>830.13859566929511</v>
      </c>
      <c r="AI102" s="640">
        <f t="shared" si="65"/>
        <v>1667.1835910424238</v>
      </c>
      <c r="AJ102" s="638"/>
      <c r="AK102" s="638"/>
      <c r="AL102" s="638"/>
      <c r="AM102" s="638"/>
      <c r="AN102" s="638"/>
    </row>
    <row r="103" spans="1:40" ht="17.25" customHeight="1" x14ac:dyDescent="0.25">
      <c r="A103" s="885"/>
      <c r="B103" s="357" t="s">
        <v>13</v>
      </c>
      <c r="C103" s="250">
        <v>-50</v>
      </c>
      <c r="D103" s="250">
        <v>160</v>
      </c>
      <c r="E103" s="430">
        <f t="shared" si="63"/>
        <v>160</v>
      </c>
      <c r="F103" s="408" t="e">
        <f>IF(OR(#REF!="", E103=""),"",E103^3*M103+E103^2*N103+E103*O103+P103+(K103-#REF!)*L103)</f>
        <v>#REF!</v>
      </c>
      <c r="G103" s="375">
        <f t="shared" si="61"/>
        <v>1368.2794758474499</v>
      </c>
      <c r="H103" s="568">
        <f t="shared" ref="H103:H108" si="66">IF(E103="---","---", E103^3*M103+E103^2*N103+E103*O103+P103+(K103-ABS(C103))*L103)</f>
        <v>805.33889448036132</v>
      </c>
      <c r="I103" s="496"/>
      <c r="J103" s="359"/>
      <c r="K103" s="301">
        <v>29</v>
      </c>
      <c r="L103" s="596">
        <v>-0.19</v>
      </c>
      <c r="M103" s="599">
        <v>7.942601191494451E-6</v>
      </c>
      <c r="N103" s="600">
        <v>-8.6400000000000001E-3</v>
      </c>
      <c r="O103" s="601">
        <v>4.9000000000000004</v>
      </c>
      <c r="P103" s="594">
        <v>206</v>
      </c>
      <c r="Q103" s="534">
        <v>0.8</v>
      </c>
      <c r="R103" s="656">
        <v>40</v>
      </c>
      <c r="S103" s="360">
        <f t="shared" si="64"/>
        <v>40</v>
      </c>
      <c r="T103" s="361">
        <f t="shared" si="64"/>
        <v>40</v>
      </c>
      <c r="U103" s="361">
        <f t="shared" si="64"/>
        <v>60</v>
      </c>
      <c r="V103" s="602">
        <v>357</v>
      </c>
      <c r="W103" s="602">
        <v>315</v>
      </c>
      <c r="X103" s="602">
        <v>300</v>
      </c>
      <c r="Y103" s="603">
        <f t="shared" ref="Y103:AC108" si="67">S103^3*$M103+S103^2*$N103+S103*$O103+$P103+($K103-ABS(Y$99))*$L103</f>
        <v>383.17432647625566</v>
      </c>
      <c r="Z103" s="603">
        <f t="shared" si="67"/>
        <v>392.67432647625566</v>
      </c>
      <c r="AA103" s="603">
        <f t="shared" si="67"/>
        <v>479.35160185736282</v>
      </c>
      <c r="AB103" s="793">
        <f t="shared" si="67"/>
        <v>1210.0133787939551</v>
      </c>
      <c r="AC103" s="793">
        <f t="shared" si="67"/>
        <v>1144.4389500162017</v>
      </c>
      <c r="AD103" s="793">
        <f t="shared" ref="AD103:AD108" si="68">X103^3*$M103+X103^2*$N103+X103*$O103+$P103+($K103-ABS(X$99))*$L103</f>
        <v>1121.5902321703502</v>
      </c>
      <c r="AE103" s="638"/>
      <c r="AF103" s="638"/>
      <c r="AG103" s="640">
        <f>IF('Flow charts'!$A$205=$S$99,AB103, IF('Flow charts'!$A$205=$T$99,AC103, IF('Flow charts'!$A$205=$U$99,AD103,"SELECT BP")))</f>
        <v>1144.4389500162017</v>
      </c>
      <c r="AH103" s="640">
        <f>IF('Flow charts'!$A$205=$S$99,Y103, IF('Flow charts'!$A$205=$T$99,Z103, IF('Flow charts'!$A$205=$U$99,AA103,"SELECT BP")))</f>
        <v>392.67432647625566</v>
      </c>
      <c r="AI103" s="640">
        <f t="shared" si="65"/>
        <v>751.76462353994611</v>
      </c>
      <c r="AJ103" s="638"/>
      <c r="AK103" s="638"/>
      <c r="AL103" s="638"/>
      <c r="AM103" s="638"/>
      <c r="AN103" s="638"/>
    </row>
    <row r="104" spans="1:40" ht="17.25" customHeight="1" x14ac:dyDescent="0.25">
      <c r="A104" s="885"/>
      <c r="B104" s="573" t="s">
        <v>14</v>
      </c>
      <c r="C104" s="250">
        <v>-50</v>
      </c>
      <c r="D104" s="250">
        <v>160</v>
      </c>
      <c r="E104" s="358">
        <f t="shared" si="63"/>
        <v>160</v>
      </c>
      <c r="F104" s="408" t="e">
        <f>IF(OR(#REF!="", E104=""),"",E104^3*M104+E104^2*N104+E104*O104+P104+(K104-#REF!)*L104)</f>
        <v>#REF!</v>
      </c>
      <c r="G104" s="375">
        <f t="shared" si="61"/>
        <v>613.96215267030516</v>
      </c>
      <c r="H104" s="568">
        <f t="shared" si="66"/>
        <v>361.36448000000001</v>
      </c>
      <c r="I104" s="496"/>
      <c r="J104" s="376"/>
      <c r="K104" s="301">
        <v>30</v>
      </c>
      <c r="L104" s="596">
        <v>0.1</v>
      </c>
      <c r="M104" s="599">
        <v>8.8000000000000004E-7</v>
      </c>
      <c r="N104" s="600">
        <v>-2.8999999999999998E-3</v>
      </c>
      <c r="O104" s="601">
        <v>2.15</v>
      </c>
      <c r="P104" s="594">
        <v>90</v>
      </c>
      <c r="Q104" s="534">
        <v>1</v>
      </c>
      <c r="R104" s="656">
        <v>50</v>
      </c>
      <c r="S104" s="336">
        <f t="shared" si="64"/>
        <v>50</v>
      </c>
      <c r="T104" s="351">
        <f t="shared" si="64"/>
        <v>50</v>
      </c>
      <c r="U104" s="351">
        <f t="shared" si="64"/>
        <v>75</v>
      </c>
      <c r="V104" s="605">
        <v>386</v>
      </c>
      <c r="W104" s="605">
        <v>322.5</v>
      </c>
      <c r="X104" s="605">
        <v>300</v>
      </c>
      <c r="Y104" s="606">
        <f t="shared" si="67"/>
        <v>193.36</v>
      </c>
      <c r="Z104" s="606">
        <f t="shared" si="67"/>
        <v>188.36</v>
      </c>
      <c r="AA104" s="606">
        <f t="shared" si="67"/>
        <v>230.80875</v>
      </c>
      <c r="AB104" s="794">
        <f t="shared" si="67"/>
        <v>541.42256128000008</v>
      </c>
      <c r="AC104" s="794">
        <f t="shared" si="67"/>
        <v>509.27384875000001</v>
      </c>
      <c r="AD104" s="794">
        <f t="shared" si="68"/>
        <v>493.26</v>
      </c>
      <c r="AE104" s="638"/>
      <c r="AF104" s="638"/>
      <c r="AG104" s="640">
        <f>IF('Flow charts'!$A$205=$S$99,AB104, IF('Flow charts'!$A$205=$T$99,AC104, IF('Flow charts'!$A$205=$U$99,AD104,"SELECT BP")))</f>
        <v>509.27384875000001</v>
      </c>
      <c r="AH104" s="640">
        <f>IF('Flow charts'!$A$205=$S$99,Y104, IF('Flow charts'!$A$205=$T$99,Z104, IF('Flow charts'!$A$205=$U$99,AA104,"SELECT BP")))</f>
        <v>188.36</v>
      </c>
      <c r="AI104" s="640">
        <f t="shared" si="65"/>
        <v>320.91384875</v>
      </c>
      <c r="AJ104" s="638"/>
      <c r="AK104" s="638"/>
      <c r="AL104" s="638"/>
      <c r="AM104" s="638"/>
      <c r="AN104" s="638"/>
    </row>
    <row r="105" spans="1:40" ht="17.25" customHeight="1" x14ac:dyDescent="0.25">
      <c r="A105" s="885"/>
      <c r="B105" s="592" t="s">
        <v>15</v>
      </c>
      <c r="C105" s="250">
        <v>-50</v>
      </c>
      <c r="D105" s="250">
        <v>160</v>
      </c>
      <c r="E105" s="323">
        <f t="shared" si="63"/>
        <v>160</v>
      </c>
      <c r="F105" s="408" t="e">
        <f>IF(OR(#REF!="", E105=""),"",E105^3*M105+E105^2*N105+E105*O105+P105+(K105-#REF!)*L105)</f>
        <v>#REF!</v>
      </c>
      <c r="G105" s="375">
        <f t="shared" si="61"/>
        <v>316.83153316551335</v>
      </c>
      <c r="H105" s="530">
        <f t="shared" si="66"/>
        <v>186.48</v>
      </c>
      <c r="I105" s="496"/>
      <c r="J105" s="376"/>
      <c r="K105" s="301">
        <v>30</v>
      </c>
      <c r="L105" s="596">
        <v>0</v>
      </c>
      <c r="M105" s="599">
        <v>4.9999999999999998E-7</v>
      </c>
      <c r="N105" s="594">
        <v>-1.2800000000000001E-3</v>
      </c>
      <c r="O105" s="533">
        <v>1.02</v>
      </c>
      <c r="P105" s="594">
        <v>54</v>
      </c>
      <c r="Q105" s="534">
        <v>1</v>
      </c>
      <c r="R105" s="656">
        <v>60</v>
      </c>
      <c r="S105" s="360">
        <f t="shared" si="64"/>
        <v>60</v>
      </c>
      <c r="T105" s="361">
        <f t="shared" si="64"/>
        <v>60</v>
      </c>
      <c r="U105" s="361">
        <f t="shared" si="64"/>
        <v>75</v>
      </c>
      <c r="V105" s="602">
        <v>379</v>
      </c>
      <c r="W105" s="608">
        <v>333.75</v>
      </c>
      <c r="X105" s="602">
        <v>300</v>
      </c>
      <c r="Y105" s="609">
        <f t="shared" si="67"/>
        <v>110.7</v>
      </c>
      <c r="Z105" s="603">
        <f t="shared" si="67"/>
        <v>110.7</v>
      </c>
      <c r="AA105" s="603">
        <f t="shared" si="67"/>
        <v>123.5109375</v>
      </c>
      <c r="AB105" s="795">
        <f t="shared" si="67"/>
        <v>283.93948949999992</v>
      </c>
      <c r="AC105" s="795">
        <f t="shared" si="67"/>
        <v>270.43504980468754</v>
      </c>
      <c r="AD105" s="795">
        <f t="shared" si="68"/>
        <v>258.3</v>
      </c>
      <c r="AE105" s="638"/>
      <c r="AF105" s="638"/>
      <c r="AG105" s="640">
        <f>IF('Flow charts'!$A$205=$S$99,AB105, IF('Flow charts'!$A$205=$T$99,AC105, IF('Flow charts'!$A$205=$U$99,AD105,"SELECT BP")))</f>
        <v>270.43504980468754</v>
      </c>
      <c r="AH105" s="640">
        <f>IF('Flow charts'!$A$205=$S$99,Y105, IF('Flow charts'!$A$205=$T$99,Z105, IF('Flow charts'!$A$205=$U$99,AA105,"SELECT BP")))</f>
        <v>110.7</v>
      </c>
      <c r="AI105" s="640">
        <f t="shared" si="65"/>
        <v>159.73504980468755</v>
      </c>
      <c r="AJ105" s="638"/>
      <c r="AK105" s="638"/>
      <c r="AL105" s="638"/>
      <c r="AM105" s="638"/>
      <c r="AN105" s="638"/>
    </row>
    <row r="106" spans="1:40" ht="17.25" customHeight="1" x14ac:dyDescent="0.25">
      <c r="A106" s="885"/>
      <c r="B106" s="357" t="s">
        <v>16</v>
      </c>
      <c r="C106" s="250">
        <v>-50</v>
      </c>
      <c r="D106" s="250">
        <v>160</v>
      </c>
      <c r="E106" s="358">
        <f t="shared" si="63"/>
        <v>160</v>
      </c>
      <c r="F106" s="408" t="e">
        <f>IF(OR(#REF!="", E106=""),"",E106^3*M106+E106^2*N106+E106*O106+P106+(K106-#REF!)*L106)</f>
        <v>#REF!</v>
      </c>
      <c r="G106" s="375">
        <f t="shared" si="61"/>
        <v>149.02508925786088</v>
      </c>
      <c r="H106" s="537">
        <f t="shared" si="66"/>
        <v>87.712855999999988</v>
      </c>
      <c r="I106" s="496"/>
      <c r="J106" s="460"/>
      <c r="K106" s="301">
        <v>25</v>
      </c>
      <c r="L106" s="596">
        <v>0.14499999999999999</v>
      </c>
      <c r="M106" s="599">
        <v>7.9599999999999998E-7</v>
      </c>
      <c r="N106" s="600">
        <v>-9.5009999999999995E-4</v>
      </c>
      <c r="O106" s="533">
        <v>0.59</v>
      </c>
      <c r="P106" s="594">
        <v>18</v>
      </c>
      <c r="Q106" s="534">
        <v>0.8</v>
      </c>
      <c r="R106" s="350">
        <v>35</v>
      </c>
      <c r="S106" s="336">
        <f t="shared" si="64"/>
        <v>35</v>
      </c>
      <c r="T106" s="351">
        <f t="shared" si="64"/>
        <v>40</v>
      </c>
      <c r="U106" s="351">
        <f t="shared" si="64"/>
        <v>60</v>
      </c>
      <c r="V106" s="352">
        <v>379</v>
      </c>
      <c r="W106" s="607">
        <v>333.75</v>
      </c>
      <c r="X106" s="605">
        <v>300</v>
      </c>
      <c r="Y106" s="610">
        <f t="shared" si="67"/>
        <v>41.145256000000003</v>
      </c>
      <c r="Z106" s="610">
        <f t="shared" si="67"/>
        <v>36.505783999999998</v>
      </c>
      <c r="AA106" s="610">
        <f t="shared" si="67"/>
        <v>42.901575999999999</v>
      </c>
      <c r="AB106" s="794">
        <f t="shared" si="67"/>
        <v>152.095877344</v>
      </c>
      <c r="AC106" s="794">
        <f t="shared" si="67"/>
        <v>135.04892700781249</v>
      </c>
      <c r="AD106" s="794">
        <f t="shared" si="68"/>
        <v>123.733</v>
      </c>
      <c r="AE106" s="638"/>
      <c r="AF106" s="638"/>
      <c r="AG106" s="640">
        <f>IF('Flow charts'!$A$205=$S$99,AB106, IF('Flow charts'!$A$205=$T$99,AC106, IF('Flow charts'!$A$205=$U$99,AD106,"SELECT BP")))</f>
        <v>135.04892700781249</v>
      </c>
      <c r="AH106" s="640">
        <f>IF('Flow charts'!$A$205=$S$99,Y106, IF('Flow charts'!$A$205=$T$99,Z106, IF('Flow charts'!$A$205=$U$99,AA106,"SELECT BP")))</f>
        <v>36.505783999999998</v>
      </c>
      <c r="AI106" s="640">
        <f t="shared" si="65"/>
        <v>98.543143007812489</v>
      </c>
      <c r="AJ106" s="638"/>
      <c r="AK106" s="638"/>
      <c r="AL106" s="638"/>
      <c r="AM106" s="638"/>
      <c r="AN106" s="638"/>
    </row>
    <row r="107" spans="1:40" ht="17.25" customHeight="1" x14ac:dyDescent="0.25">
      <c r="A107" s="885"/>
      <c r="B107" s="357" t="s">
        <v>17</v>
      </c>
      <c r="C107" s="250">
        <v>-50</v>
      </c>
      <c r="D107" s="250">
        <v>160</v>
      </c>
      <c r="E107" s="358">
        <f t="shared" si="63"/>
        <v>160</v>
      </c>
      <c r="F107" s="408" t="e">
        <f>IF(OR(#REF!="", E107=""),"",E107^3*M107+E107^2*N107+E107*O107+P107+(K107-#REF!)*L107)</f>
        <v>#REF!</v>
      </c>
      <c r="G107" s="375">
        <f t="shared" si="61"/>
        <v>69.099098771094887</v>
      </c>
      <c r="H107" s="568">
        <f t="shared" si="66"/>
        <v>40.670194062098972</v>
      </c>
      <c r="I107" s="496"/>
      <c r="J107" s="460"/>
      <c r="K107" s="301">
        <v>25</v>
      </c>
      <c r="L107" s="596">
        <v>0.09</v>
      </c>
      <c r="M107" s="599">
        <v>2.6904318197461721E-7</v>
      </c>
      <c r="N107" s="611">
        <v>-3.5905495356519798E-4</v>
      </c>
      <c r="O107" s="533">
        <v>0.24349999999999999</v>
      </c>
      <c r="P107" s="594">
        <v>12.05</v>
      </c>
      <c r="Q107" s="534">
        <v>1</v>
      </c>
      <c r="R107" s="350">
        <v>50</v>
      </c>
      <c r="S107" s="360">
        <f t="shared" si="64"/>
        <v>50</v>
      </c>
      <c r="T107" s="361">
        <f t="shared" si="64"/>
        <v>50</v>
      </c>
      <c r="U107" s="361">
        <f t="shared" si="64"/>
        <v>75</v>
      </c>
      <c r="V107" s="363">
        <v>379</v>
      </c>
      <c r="W107" s="608">
        <v>333.75</v>
      </c>
      <c r="X107" s="602">
        <v>300</v>
      </c>
      <c r="Y107" s="609">
        <f t="shared" si="67"/>
        <v>25.610993013833834</v>
      </c>
      <c r="Z107" s="609">
        <f t="shared" si="67"/>
        <v>21.110993013833834</v>
      </c>
      <c r="AA107" s="609">
        <f t="shared" si="67"/>
        <v>23.906318478591302</v>
      </c>
      <c r="AB107" s="796">
        <f t="shared" si="67"/>
        <v>69.658181830005461</v>
      </c>
      <c r="AC107" s="796">
        <f t="shared" si="67"/>
        <v>61.075306468703133</v>
      </c>
      <c r="AD107" s="796">
        <f t="shared" si="68"/>
        <v>55.549220092446845</v>
      </c>
      <c r="AE107" s="638"/>
      <c r="AF107" s="638"/>
      <c r="AG107" s="640">
        <f>IF('Flow charts'!$A$205=$S$99,AB107, IF('Flow charts'!$A$205=$T$99,AC107, IF('Flow charts'!$A$205=$U$99,AD107,"SELECT BP")))</f>
        <v>61.075306468703133</v>
      </c>
      <c r="AH107" s="640">
        <f>IF('Flow charts'!$A$205=$S$99,Y107, IF('Flow charts'!$A$205=$T$99,Z107, IF('Flow charts'!$A$205=$U$99,AA107,"SELECT BP")))</f>
        <v>21.110993013833834</v>
      </c>
      <c r="AI107" s="640">
        <f t="shared" si="65"/>
        <v>39.964313454869298</v>
      </c>
      <c r="AJ107" s="638"/>
      <c r="AK107" s="638"/>
      <c r="AL107" s="638"/>
      <c r="AM107" s="638"/>
      <c r="AN107" s="638"/>
    </row>
    <row r="108" spans="1:40" ht="18" customHeight="1" thickBot="1" x14ac:dyDescent="0.3">
      <c r="A108" s="886"/>
      <c r="B108" s="377" t="s">
        <v>18</v>
      </c>
      <c r="C108" s="249">
        <v>-50</v>
      </c>
      <c r="D108" s="249">
        <v>160</v>
      </c>
      <c r="E108" s="309">
        <f t="shared" si="63"/>
        <v>160</v>
      </c>
      <c r="F108" s="542" t="e">
        <f>IF(OR(#REF!="", E108=""),"",E108^3*M108+E108^2*N108+E108*O108+P108+(K108-#REF!)*L108)</f>
        <v>#REF!</v>
      </c>
      <c r="G108" s="375">
        <f t="shared" si="61"/>
        <v>27.626350483396276</v>
      </c>
      <c r="H108" s="588">
        <f t="shared" si="66"/>
        <v>16.260255999999998</v>
      </c>
      <c r="I108" s="380"/>
      <c r="J108" s="504"/>
      <c r="K108" s="381">
        <v>25</v>
      </c>
      <c r="L108" s="546">
        <v>-0.02</v>
      </c>
      <c r="M108" s="547">
        <v>1.11E-7</v>
      </c>
      <c r="N108" s="613">
        <v>-1.4899999999999999E-4</v>
      </c>
      <c r="O108" s="614">
        <v>9.1999999999999998E-2</v>
      </c>
      <c r="P108" s="550">
        <v>4.4000000000000004</v>
      </c>
      <c r="Q108" s="551">
        <v>0.6</v>
      </c>
      <c r="R108" s="382">
        <v>50</v>
      </c>
      <c r="S108" s="314">
        <f t="shared" si="64"/>
        <v>50</v>
      </c>
      <c r="T108" s="315">
        <f t="shared" si="64"/>
        <v>50</v>
      </c>
      <c r="U108" s="315">
        <f t="shared" si="64"/>
        <v>50</v>
      </c>
      <c r="V108" s="321">
        <v>379</v>
      </c>
      <c r="W108" s="615">
        <v>333.75</v>
      </c>
      <c r="X108" s="552">
        <v>300</v>
      </c>
      <c r="Y108" s="616">
        <f t="shared" si="67"/>
        <v>8.141375</v>
      </c>
      <c r="Z108" s="616">
        <f t="shared" si="67"/>
        <v>9.141375</v>
      </c>
      <c r="AA108" s="616">
        <f t="shared" si="67"/>
        <v>9.641375</v>
      </c>
      <c r="AB108" s="797">
        <f t="shared" si="67"/>
        <v>23.408324229000002</v>
      </c>
      <c r="AC108" s="797">
        <f t="shared" si="67"/>
        <v>23.134576744140624</v>
      </c>
      <c r="AD108" s="797">
        <f t="shared" si="68"/>
        <v>22.586999999999996</v>
      </c>
      <c r="AE108" s="638"/>
      <c r="AF108" s="638"/>
      <c r="AG108" s="640">
        <f>IF('Flow charts'!$A$205=$S$99,AB108, IF('Flow charts'!$A$205=$T$99,AC108, IF('Flow charts'!$A$205=$U$99,AD108,"SELECT BP")))</f>
        <v>23.134576744140624</v>
      </c>
      <c r="AH108" s="637">
        <f>IF('Flow charts'!$A$205=$S$99,Y108, IF('Flow charts'!$A$205=$T$99,Z108, IF('Flow charts'!$A$205=$U$99,AA108,"SELECT BP")))</f>
        <v>9.141375</v>
      </c>
      <c r="AI108" s="640">
        <f t="shared" si="65"/>
        <v>13.993201744140624</v>
      </c>
      <c r="AJ108" s="638"/>
      <c r="AK108" s="638"/>
      <c r="AL108" s="638"/>
      <c r="AM108" s="638"/>
      <c r="AN108" s="638"/>
    </row>
    <row r="109" spans="1:40" ht="14.25" customHeight="1" thickBot="1" x14ac:dyDescent="0.3">
      <c r="A109" s="470"/>
      <c r="B109" s="459"/>
      <c r="C109" s="618"/>
      <c r="D109" s="619"/>
      <c r="E109" s="323" t="str">
        <f t="shared" si="63"/>
        <v/>
      </c>
      <c r="F109" s="408" t="e">
        <f>IF(OR(#REF!="", E109=""),"",E109^3*M109+E109^2*N109+E109*O109+P109+(K109-#REF!)*L109)</f>
        <v>#REF!</v>
      </c>
      <c r="G109" s="872"/>
      <c r="H109" s="620"/>
      <c r="I109" s="621"/>
      <c r="J109" s="622"/>
      <c r="K109" s="584"/>
      <c r="L109" s="584"/>
      <c r="M109" s="584"/>
      <c r="N109" s="334"/>
      <c r="O109" s="334"/>
      <c r="P109" s="334"/>
      <c r="Q109" s="334"/>
      <c r="R109" s="623"/>
      <c r="AB109" s="775"/>
      <c r="AE109" s="638"/>
      <c r="AF109" s="638"/>
      <c r="AG109" s="639"/>
      <c r="AH109" s="639"/>
      <c r="AI109" s="639"/>
      <c r="AJ109" s="638"/>
      <c r="AK109" s="638"/>
      <c r="AL109" s="638"/>
      <c r="AM109" s="638"/>
      <c r="AN109" s="638"/>
    </row>
    <row r="110" spans="1:40" x14ac:dyDescent="0.25">
      <c r="A110" s="884">
        <v>6000</v>
      </c>
      <c r="B110" s="521" t="s">
        <v>4</v>
      </c>
      <c r="C110" s="247">
        <v>-50</v>
      </c>
      <c r="D110" s="247">
        <v>160</v>
      </c>
      <c r="E110" s="286">
        <f>IF(OR(C110="",D110="",D110&lt;0),"",        IF(AND(C110&lt;=0,D110&gt;=R110, D110&gt;=ABS(C110)*Q110),D110,         IF(AND(C110&gt;0, (ABS(D110)-C110)&gt;=R110, (ABS(D110)-C110)&gt;=ABS(C110)*Q110),(ABS(D110)-C110),"---")))</f>
        <v>160</v>
      </c>
      <c r="F110" s="440" t="e">
        <f>IF(OR(#REF!="", E110=""),"",E110^I110*J110)</f>
        <v>#REF!</v>
      </c>
      <c r="G110" s="375">
        <f t="shared" si="61"/>
        <v>11658.118038962173</v>
      </c>
      <c r="H110" s="522">
        <f>IF(E110="---","---", E110^I110*J110)</f>
        <v>6861.7092187284316</v>
      </c>
      <c r="I110" s="441">
        <v>0.498</v>
      </c>
      <c r="J110" s="564">
        <v>548</v>
      </c>
      <c r="K110" s="341"/>
      <c r="L110" s="341"/>
      <c r="M110" s="565"/>
      <c r="N110" s="591"/>
      <c r="O110" s="591"/>
      <c r="P110" s="591"/>
      <c r="Q110" s="527">
        <v>0.5</v>
      </c>
      <c r="R110" s="442">
        <v>25</v>
      </c>
      <c r="S110" s="443">
        <f>IF($Q110*S$99&gt;$R110, $Q110*S$99, $R110)</f>
        <v>25</v>
      </c>
      <c r="T110" s="444">
        <f>IF($Q110*T$99&gt;$R110, $Q110*T$99, $R110)</f>
        <v>25</v>
      </c>
      <c r="U110" s="444">
        <f>IF($Q110*U$99&gt;$R110, $Q110*U$99, $R110)</f>
        <v>37.5</v>
      </c>
      <c r="V110" s="446">
        <v>225</v>
      </c>
      <c r="W110" s="446">
        <v>204</v>
      </c>
      <c r="X110" s="446">
        <v>185</v>
      </c>
      <c r="Y110" s="528">
        <f t="shared" ref="Y110:AD112" si="69">S110^$I110*$J110</f>
        <v>2722.4172179976167</v>
      </c>
      <c r="Z110" s="528">
        <f t="shared" si="69"/>
        <v>2722.4172179976167</v>
      </c>
      <c r="AA110" s="528">
        <f t="shared" si="69"/>
        <v>3331.5637640798445</v>
      </c>
      <c r="AB110" s="790">
        <f t="shared" si="69"/>
        <v>8131.4398261250271</v>
      </c>
      <c r="AC110" s="790">
        <f t="shared" si="69"/>
        <v>7744.1968156881339</v>
      </c>
      <c r="AD110" s="790">
        <f t="shared" si="69"/>
        <v>7376.1897323421563</v>
      </c>
      <c r="AE110" s="638"/>
      <c r="AF110" s="638"/>
      <c r="AG110" s="640">
        <f>IF('Flow charts'!$A$238=$S$99,AB110, IF('Flow charts'!$A$238=$T$99,AC110, IF('Flow charts'!$A$238=$U$99,AD110,"SELECT BP")))</f>
        <v>7744.1968156881339</v>
      </c>
      <c r="AH110" s="640">
        <f>IF('Flow charts'!$A$238=$S$99,Y110, IF('Flow charts'!$A$238=$T$99,Z110, IF('Flow charts'!$A$238=$U$99,AA110,"SELECT BP")))</f>
        <v>2722.4172179976167</v>
      </c>
      <c r="AI110" s="640">
        <f>AG110-AH110</f>
        <v>5021.7795976905172</v>
      </c>
      <c r="AJ110" s="638"/>
      <c r="AK110" s="638"/>
      <c r="AL110" s="638"/>
      <c r="AM110" s="638"/>
      <c r="AN110" s="638"/>
    </row>
    <row r="111" spans="1:40" x14ac:dyDescent="0.25">
      <c r="A111" s="885"/>
      <c r="B111" s="457" t="s">
        <v>11</v>
      </c>
      <c r="C111" s="250">
        <v>50</v>
      </c>
      <c r="D111" s="250">
        <v>160</v>
      </c>
      <c r="E111" s="323">
        <f t="shared" si="63"/>
        <v>110</v>
      </c>
      <c r="F111" s="408" t="e">
        <f>IF(OR(#REF!="", E111=""),"",E111^I111*J111)</f>
        <v>#REF!</v>
      </c>
      <c r="G111" s="375">
        <f t="shared" si="61"/>
        <v>5162.4655088578347</v>
      </c>
      <c r="H111" s="530">
        <f>IF(E111="---","---", E111^I111*J111)</f>
        <v>3038.5124816124112</v>
      </c>
      <c r="I111" s="369">
        <v>0.502</v>
      </c>
      <c r="J111" s="593">
        <v>287</v>
      </c>
      <c r="K111" s="301"/>
      <c r="L111" s="301"/>
      <c r="M111" s="428"/>
      <c r="N111" s="594"/>
      <c r="O111" s="594"/>
      <c r="P111" s="594"/>
      <c r="Q111" s="534">
        <v>0.5</v>
      </c>
      <c r="R111" s="350">
        <v>25</v>
      </c>
      <c r="S111" s="360">
        <f t="shared" ref="S111:U118" si="70">IF($Q111*S$99&gt;$R111, $Q111*S$99, $R111)</f>
        <v>25</v>
      </c>
      <c r="T111" s="361">
        <f t="shared" si="70"/>
        <v>25</v>
      </c>
      <c r="U111" s="361">
        <f t="shared" si="70"/>
        <v>37.5</v>
      </c>
      <c r="V111" s="363">
        <v>350</v>
      </c>
      <c r="W111" s="363">
        <v>269</v>
      </c>
      <c r="X111" s="363">
        <v>242</v>
      </c>
      <c r="Y111" s="535">
        <f t="shared" si="69"/>
        <v>1444.2679740660683</v>
      </c>
      <c r="Z111" s="535">
        <f t="shared" si="69"/>
        <v>1444.2679740660683</v>
      </c>
      <c r="AA111" s="535">
        <f t="shared" si="69"/>
        <v>1770.2947977731253</v>
      </c>
      <c r="AB111" s="791">
        <f t="shared" si="69"/>
        <v>5432.5540383226626</v>
      </c>
      <c r="AC111" s="791">
        <f t="shared" si="69"/>
        <v>4760.1160554235394</v>
      </c>
      <c r="AD111" s="791">
        <f t="shared" si="69"/>
        <v>4513.954846290203</v>
      </c>
      <c r="AE111" s="638"/>
      <c r="AF111" s="638"/>
      <c r="AG111" s="640">
        <f>IF('Flow charts'!$A$238=$S$99,AB111, IF('Flow charts'!$A$238=$T$99,AC111, IF('Flow charts'!$A$238=$U$99,AD111,"SELECT BP")))</f>
        <v>4760.1160554235394</v>
      </c>
      <c r="AH111" s="640">
        <f>IF('Flow charts'!$A$238=$S$99,Y111, IF('Flow charts'!$A$238=$T$99,Z111, IF('Flow charts'!$A$238=$U$99,AA111,"SELECT BP")))</f>
        <v>1444.2679740660683</v>
      </c>
      <c r="AI111" s="640">
        <f t="shared" ref="AI111:AI118" si="71">AG111-AH111</f>
        <v>3315.8480813574711</v>
      </c>
      <c r="AJ111" s="638"/>
      <c r="AK111" s="638"/>
      <c r="AL111" s="638"/>
      <c r="AM111" s="638"/>
      <c r="AN111" s="638"/>
    </row>
    <row r="112" spans="1:40" x14ac:dyDescent="0.25">
      <c r="A112" s="885"/>
      <c r="B112" s="429" t="s">
        <v>12</v>
      </c>
      <c r="C112" s="250">
        <v>50</v>
      </c>
      <c r="D112" s="250">
        <v>160</v>
      </c>
      <c r="E112" s="430">
        <f t="shared" si="63"/>
        <v>110</v>
      </c>
      <c r="F112" s="408" t="e">
        <f>IF(OR(#REF!="", E112=""),"",E112^I112*J112)</f>
        <v>#REF!</v>
      </c>
      <c r="G112" s="375">
        <f t="shared" si="61"/>
        <v>2435.490271198149</v>
      </c>
      <c r="H112" s="537">
        <f>IF(E112="---","---", E112^I112*J112)</f>
        <v>1433.4754537698477</v>
      </c>
      <c r="I112" s="369">
        <v>0.54</v>
      </c>
      <c r="J112" s="596">
        <v>113.25</v>
      </c>
      <c r="K112" s="301"/>
      <c r="L112" s="301"/>
      <c r="M112" s="428"/>
      <c r="N112" s="594"/>
      <c r="O112" s="594"/>
      <c r="P112" s="594"/>
      <c r="Q112" s="534">
        <v>0.8</v>
      </c>
      <c r="R112" s="350">
        <v>40</v>
      </c>
      <c r="S112" s="336">
        <f t="shared" si="70"/>
        <v>40</v>
      </c>
      <c r="T112" s="351">
        <f>IF($Q112*T$99&gt;$R112, $Q112*T$99, $R112)</f>
        <v>40</v>
      </c>
      <c r="U112" s="351">
        <f>IF($Q112*U$99&gt;$R112, $Q112*U$99, $R112)</f>
        <v>60</v>
      </c>
      <c r="V112" s="352">
        <v>477</v>
      </c>
      <c r="W112" s="352">
        <v>410</v>
      </c>
      <c r="X112" s="352">
        <v>363</v>
      </c>
      <c r="Y112" s="597">
        <f t="shared" si="69"/>
        <v>830.13859566929511</v>
      </c>
      <c r="Z112" s="597">
        <f t="shared" si="69"/>
        <v>830.13859566929511</v>
      </c>
      <c r="AA112" s="597">
        <f t="shared" si="69"/>
        <v>1033.33201703072</v>
      </c>
      <c r="AB112" s="792">
        <f t="shared" si="69"/>
        <v>3165.4695146682052</v>
      </c>
      <c r="AC112" s="792">
        <f t="shared" si="69"/>
        <v>2917.0340145551158</v>
      </c>
      <c r="AD112" s="792">
        <f t="shared" si="69"/>
        <v>2731.4156171569366</v>
      </c>
      <c r="AE112" s="638"/>
      <c r="AF112" s="638"/>
      <c r="AG112" s="640">
        <f>IF('Flow charts'!$A$238=$S$99,AB112, IF('Flow charts'!$A$238=$T$99,AC112, IF('Flow charts'!$A$238=$U$99,AD112,"SELECT BP")))</f>
        <v>2917.0340145551158</v>
      </c>
      <c r="AH112" s="637">
        <f>IF('Flow charts'!$A$238=$S$99,Y112, IF('Flow charts'!$A$238=$T$99,Z112, IF('Flow charts'!$A$238=$U$99,AA112,"SELECT BP")))</f>
        <v>830.13859566929511</v>
      </c>
      <c r="AI112" s="640">
        <f t="shared" si="71"/>
        <v>2086.8954188858206</v>
      </c>
      <c r="AJ112" s="638"/>
      <c r="AK112" s="638"/>
      <c r="AL112" s="638"/>
      <c r="AM112" s="638"/>
      <c r="AN112" s="638"/>
    </row>
    <row r="113" spans="1:40" x14ac:dyDescent="0.25">
      <c r="A113" s="885"/>
      <c r="B113" s="357" t="s">
        <v>13</v>
      </c>
      <c r="C113" s="250">
        <v>-50</v>
      </c>
      <c r="D113" s="250">
        <v>160</v>
      </c>
      <c r="E113" s="430">
        <f t="shared" si="63"/>
        <v>160</v>
      </c>
      <c r="F113" s="408" t="e">
        <f>IF(OR(#REF!="", E113=""),"",E113^3*M113+E113^2*N113+E113*O113+P113+(K113-#REF!)*L113)</f>
        <v>#REF!</v>
      </c>
      <c r="G113" s="375">
        <f t="shared" si="61"/>
        <v>1286.8911254591262</v>
      </c>
      <c r="H113" s="568">
        <f t="shared" ref="H113:H118" si="72">IF(E113="---","---", E113^3*M113+E113^2*N113+E113*O113+P113+(K113-ABS(C113))*L113)</f>
        <v>757.43552</v>
      </c>
      <c r="I113" s="496"/>
      <c r="J113" s="359"/>
      <c r="K113" s="301">
        <v>0</v>
      </c>
      <c r="L113" s="596">
        <v>0.7</v>
      </c>
      <c r="M113" s="599">
        <v>6.6200000000000001E-6</v>
      </c>
      <c r="N113" s="600">
        <v>-7.7999999999999996E-3</v>
      </c>
      <c r="O113" s="601">
        <v>4.75</v>
      </c>
      <c r="P113" s="594">
        <v>205</v>
      </c>
      <c r="Q113" s="534">
        <v>0.8</v>
      </c>
      <c r="R113" s="656">
        <v>40</v>
      </c>
      <c r="S113" s="360">
        <f t="shared" si="70"/>
        <v>40</v>
      </c>
      <c r="T113" s="361">
        <f t="shared" si="70"/>
        <v>40</v>
      </c>
      <c r="U113" s="361">
        <f t="shared" si="70"/>
        <v>60</v>
      </c>
      <c r="V113" s="602">
        <v>485</v>
      </c>
      <c r="W113" s="602">
        <v>425</v>
      </c>
      <c r="X113" s="602">
        <v>485</v>
      </c>
      <c r="Y113" s="603">
        <f t="shared" ref="Y113:AC118" si="73">S113^3*$M113+S113^2*$N113+S113*$O113+$P113+($K113-ABS(Y$99))*$L113</f>
        <v>382.94367999999997</v>
      </c>
      <c r="Z113" s="603">
        <f t="shared" si="73"/>
        <v>347.94367999999997</v>
      </c>
      <c r="AA113" s="603">
        <f t="shared" si="73"/>
        <v>410.84992</v>
      </c>
      <c r="AB113" s="793">
        <f t="shared" si="73"/>
        <v>1429.2319075</v>
      </c>
      <c r="AC113" s="793">
        <f t="shared" si="73"/>
        <v>1288.0634375</v>
      </c>
      <c r="AD113" s="793">
        <f t="shared" ref="AD113:AD118" si="74">X113^3*$M113+X113^2*$N113+X113*$O113+$P113+($K113-ABS(X$99))*$L113</f>
        <v>1376.7319075</v>
      </c>
      <c r="AE113" s="638"/>
      <c r="AF113" s="638"/>
      <c r="AG113" s="640">
        <f>IF('Flow charts'!$A$238=$S$99,AB113, IF('Flow charts'!$A$238=$T$99,AC113, IF('Flow charts'!$A$238=$U$99,AD113,"SELECT BP")))</f>
        <v>1288.0634375</v>
      </c>
      <c r="AH113" s="640">
        <f>IF('Flow charts'!$A$238=$S$99,Y113, IF('Flow charts'!$A$238=$T$99,Z113, IF('Flow charts'!$A$238=$U$99,AA113,"SELECT BP")))</f>
        <v>347.94367999999997</v>
      </c>
      <c r="AI113" s="640">
        <f t="shared" si="71"/>
        <v>940.11975749999999</v>
      </c>
      <c r="AJ113" s="638"/>
      <c r="AK113" s="638"/>
      <c r="AL113" s="638"/>
      <c r="AM113" s="638"/>
      <c r="AN113" s="638"/>
    </row>
    <row r="114" spans="1:40" x14ac:dyDescent="0.25">
      <c r="A114" s="885"/>
      <c r="B114" s="357" t="s">
        <v>14</v>
      </c>
      <c r="C114" s="250">
        <v>-50</v>
      </c>
      <c r="D114" s="250">
        <v>160</v>
      </c>
      <c r="E114" s="358">
        <f t="shared" si="63"/>
        <v>160</v>
      </c>
      <c r="F114" s="408" t="e">
        <f>IF(OR(#REF!="", E114=""),"",E114^3*M114+E114^2*N114+E114*O114+P114+(K114-#REF!)*L114)</f>
        <v>#REF!</v>
      </c>
      <c r="G114" s="375">
        <f t="shared" si="61"/>
        <v>526.80887937346847</v>
      </c>
      <c r="H114" s="530">
        <f t="shared" si="72"/>
        <v>310.06799999999998</v>
      </c>
      <c r="I114" s="496"/>
      <c r="J114" s="376"/>
      <c r="K114" s="301">
        <v>40</v>
      </c>
      <c r="L114" s="596">
        <v>0.85</v>
      </c>
      <c r="M114" s="599">
        <v>3.0000000000000001E-6</v>
      </c>
      <c r="N114" s="600">
        <v>-3.7000000000000002E-3</v>
      </c>
      <c r="O114" s="601">
        <v>2.2000000000000002</v>
      </c>
      <c r="P114" s="594">
        <v>49</v>
      </c>
      <c r="Q114" s="534">
        <v>1</v>
      </c>
      <c r="R114" s="656">
        <v>50</v>
      </c>
      <c r="S114" s="336">
        <f t="shared" si="70"/>
        <v>50</v>
      </c>
      <c r="T114" s="351">
        <f t="shared" si="70"/>
        <v>50</v>
      </c>
      <c r="U114" s="351">
        <f t="shared" si="70"/>
        <v>75</v>
      </c>
      <c r="V114" s="605">
        <v>466</v>
      </c>
      <c r="W114" s="605">
        <v>430</v>
      </c>
      <c r="X114" s="605">
        <v>402</v>
      </c>
      <c r="Y114" s="606">
        <f t="shared" si="73"/>
        <v>184.125</v>
      </c>
      <c r="Z114" s="606">
        <f t="shared" si="73"/>
        <v>141.625</v>
      </c>
      <c r="AA114" s="606">
        <f t="shared" si="73"/>
        <v>164.703125</v>
      </c>
      <c r="AB114" s="794">
        <f t="shared" si="73"/>
        <v>608.30688800000007</v>
      </c>
      <c r="AC114" s="794">
        <f t="shared" si="73"/>
        <v>540.89100000000008</v>
      </c>
      <c r="AD114" s="794">
        <f t="shared" si="74"/>
        <v>500.60962400000017</v>
      </c>
      <c r="AE114" s="638"/>
      <c r="AF114" s="638"/>
      <c r="AG114" s="640">
        <f>IF('Flow charts'!$A$238=$S$99,AB114, IF('Flow charts'!$A$238=$T$99,AC114, IF('Flow charts'!$A$238=$U$99,AD114,"SELECT BP")))</f>
        <v>540.89100000000008</v>
      </c>
      <c r="AH114" s="640">
        <f>IF('Flow charts'!$A$238=$S$99,Y114, IF('Flow charts'!$A$238=$T$99,Z114, IF('Flow charts'!$A$238=$U$99,AA114,"SELECT BP")))</f>
        <v>141.625</v>
      </c>
      <c r="AI114" s="640">
        <f t="shared" si="71"/>
        <v>399.26600000000008</v>
      </c>
      <c r="AJ114" s="638"/>
      <c r="AK114" s="638"/>
      <c r="AL114" s="638"/>
      <c r="AM114" s="638"/>
      <c r="AN114" s="638"/>
    </row>
    <row r="115" spans="1:40" x14ac:dyDescent="0.25">
      <c r="A115" s="885"/>
      <c r="B115" s="457" t="s">
        <v>15</v>
      </c>
      <c r="C115" s="250">
        <v>-50</v>
      </c>
      <c r="D115" s="250">
        <v>160</v>
      </c>
      <c r="E115" s="358">
        <f t="shared" si="63"/>
        <v>160</v>
      </c>
      <c r="F115" s="408" t="e">
        <f>IF(OR(#REF!="", E115=""),"",E115^3*M115+E115^2*N115+E115*O115+P115+(K115-#REF!)*L115)</f>
        <v>#REF!</v>
      </c>
      <c r="G115" s="375">
        <f t="shared" si="61"/>
        <v>280.13317182204611</v>
      </c>
      <c r="H115" s="568">
        <f t="shared" si="72"/>
        <v>164.88016000000002</v>
      </c>
      <c r="I115" s="496"/>
      <c r="J115" s="376"/>
      <c r="K115" s="301">
        <v>65</v>
      </c>
      <c r="L115" s="596">
        <v>0.2</v>
      </c>
      <c r="M115" s="599">
        <v>1.06E-6</v>
      </c>
      <c r="N115" s="594">
        <v>-1.382E-3</v>
      </c>
      <c r="O115" s="657">
        <v>0.96511000000000013</v>
      </c>
      <c r="P115" s="594">
        <v>38.5</v>
      </c>
      <c r="Q115" s="534">
        <v>1</v>
      </c>
      <c r="R115" s="656">
        <v>60</v>
      </c>
      <c r="S115" s="360">
        <f t="shared" si="70"/>
        <v>60</v>
      </c>
      <c r="T115" s="361">
        <f t="shared" si="70"/>
        <v>60</v>
      </c>
      <c r="U115" s="361">
        <f t="shared" si="70"/>
        <v>75</v>
      </c>
      <c r="V115" s="602">
        <v>475</v>
      </c>
      <c r="W115" s="608">
        <v>454</v>
      </c>
      <c r="X115" s="602">
        <v>415</v>
      </c>
      <c r="Y115" s="609">
        <f t="shared" si="73"/>
        <v>104.66036000000001</v>
      </c>
      <c r="Z115" s="603">
        <f t="shared" si="73"/>
        <v>94.660360000000011</v>
      </c>
      <c r="AA115" s="603">
        <f t="shared" si="73"/>
        <v>101.55668750000001</v>
      </c>
      <c r="AB115" s="795">
        <f t="shared" si="73"/>
        <v>311.71568750000012</v>
      </c>
      <c r="AC115" s="795">
        <f t="shared" si="73"/>
        <v>293.99889184000006</v>
      </c>
      <c r="AD115" s="795">
        <f t="shared" si="74"/>
        <v>274.76747750000004</v>
      </c>
      <c r="AE115" s="638"/>
      <c r="AF115" s="638"/>
      <c r="AG115" s="640">
        <f>IF('Flow charts'!$A$238=$S$99,AB115, IF('Flow charts'!$A$238=$T$99,AC115, IF('Flow charts'!$A$238=$U$99,AD115,"SELECT BP")))</f>
        <v>293.99889184000006</v>
      </c>
      <c r="AH115" s="640">
        <f>IF('Flow charts'!$A$238=$S$99,Y115, IF('Flow charts'!$A$238=$T$99,Z115, IF('Flow charts'!$A$238=$U$99,AA115,"SELECT BP")))</f>
        <v>94.660360000000011</v>
      </c>
      <c r="AI115" s="640">
        <f t="shared" si="71"/>
        <v>199.33853184000003</v>
      </c>
      <c r="AJ115" s="638"/>
      <c r="AK115" s="638"/>
      <c r="AL115" s="638"/>
      <c r="AM115" s="638"/>
      <c r="AN115" s="638"/>
    </row>
    <row r="116" spans="1:40" x14ac:dyDescent="0.25">
      <c r="A116" s="885"/>
      <c r="B116" s="357" t="s">
        <v>16</v>
      </c>
      <c r="C116" s="250">
        <v>-50</v>
      </c>
      <c r="D116" s="250">
        <v>160</v>
      </c>
      <c r="E116" s="358">
        <f t="shared" si="63"/>
        <v>160</v>
      </c>
      <c r="F116" s="408" t="e">
        <f>IF(OR(#REF!="", E116=""),"",E116^3*M116+E116^2*N116+E116*O116+P116+(K116-#REF!)*L116)</f>
        <v>#REF!</v>
      </c>
      <c r="G116" s="375">
        <f t="shared" si="61"/>
        <v>149.02508925786088</v>
      </c>
      <c r="H116" s="530">
        <f t="shared" si="72"/>
        <v>87.712855999999988</v>
      </c>
      <c r="I116" s="496"/>
      <c r="J116" s="460"/>
      <c r="K116" s="301">
        <v>25</v>
      </c>
      <c r="L116" s="596">
        <v>0.14499999999999999</v>
      </c>
      <c r="M116" s="599">
        <v>7.9599999999999998E-7</v>
      </c>
      <c r="N116" s="600">
        <v>-9.5009999999999995E-4</v>
      </c>
      <c r="O116" s="533">
        <v>0.59</v>
      </c>
      <c r="P116" s="594">
        <v>18</v>
      </c>
      <c r="Q116" s="534">
        <v>0.8</v>
      </c>
      <c r="R116" s="350">
        <v>35</v>
      </c>
      <c r="S116" s="360">
        <f t="shared" si="70"/>
        <v>35</v>
      </c>
      <c r="T116" s="361">
        <f t="shared" si="70"/>
        <v>40</v>
      </c>
      <c r="U116" s="361">
        <f t="shared" si="70"/>
        <v>60</v>
      </c>
      <c r="V116" s="363">
        <v>480</v>
      </c>
      <c r="W116" s="608">
        <v>454</v>
      </c>
      <c r="X116" s="602">
        <v>427</v>
      </c>
      <c r="Y116" s="609">
        <f t="shared" si="73"/>
        <v>41.145256000000003</v>
      </c>
      <c r="Z116" s="609">
        <f t="shared" si="73"/>
        <v>36.505783999999998</v>
      </c>
      <c r="AA116" s="609">
        <f t="shared" si="73"/>
        <v>42.901575999999999</v>
      </c>
      <c r="AB116" s="795">
        <f t="shared" si="73"/>
        <v>173.953192</v>
      </c>
      <c r="AC116" s="795">
        <f t="shared" si="73"/>
        <v>160.89121294400002</v>
      </c>
      <c r="AD116" s="795">
        <f t="shared" si="74"/>
        <v>151.42138556800001</v>
      </c>
      <c r="AE116" s="638"/>
      <c r="AF116" s="638"/>
      <c r="AG116" s="640">
        <f>IF('Flow charts'!$A$238=$S$99,AB116, IF('Flow charts'!$A$238=$T$99,AC116, IF('Flow charts'!$A$238=$U$99,AD116,"SELECT BP")))</f>
        <v>160.89121294400002</v>
      </c>
      <c r="AH116" s="640">
        <f>IF('Flow charts'!$A$238=$S$99,Y116, IF('Flow charts'!$A$238=$T$99,Z116, IF('Flow charts'!$A$238=$U$99,AA116,"SELECT BP")))</f>
        <v>36.505783999999998</v>
      </c>
      <c r="AI116" s="640">
        <f t="shared" si="71"/>
        <v>124.38542894400001</v>
      </c>
      <c r="AJ116" s="638"/>
      <c r="AK116" s="638"/>
      <c r="AL116" s="638"/>
      <c r="AM116" s="638"/>
      <c r="AN116" s="638"/>
    </row>
    <row r="117" spans="1:40" x14ac:dyDescent="0.25">
      <c r="A117" s="885"/>
      <c r="B117" s="357" t="s">
        <v>17</v>
      </c>
      <c r="C117" s="250">
        <v>-50</v>
      </c>
      <c r="D117" s="250">
        <v>160</v>
      </c>
      <c r="E117" s="323">
        <f t="shared" si="63"/>
        <v>160</v>
      </c>
      <c r="F117" s="408" t="e">
        <f>IF(OR(#REF!="", E117=""),"",E117^3*M117+E117^2*N117+E117*O117+P117+(K117-#REF!)*L117)</f>
        <v>#REF!</v>
      </c>
      <c r="G117" s="375">
        <f t="shared" si="61"/>
        <v>69.099098771094887</v>
      </c>
      <c r="H117" s="537">
        <f t="shared" si="72"/>
        <v>40.670194062098972</v>
      </c>
      <c r="I117" s="496"/>
      <c r="J117" s="460"/>
      <c r="K117" s="301">
        <v>25</v>
      </c>
      <c r="L117" s="596">
        <v>0.09</v>
      </c>
      <c r="M117" s="599">
        <v>2.6904318197461721E-7</v>
      </c>
      <c r="N117" s="611">
        <v>-3.5905495356519798E-4</v>
      </c>
      <c r="O117" s="533">
        <v>0.24349999999999999</v>
      </c>
      <c r="P117" s="594">
        <v>12.05</v>
      </c>
      <c r="Q117" s="534">
        <v>1</v>
      </c>
      <c r="R117" s="350">
        <v>50</v>
      </c>
      <c r="S117" s="291">
        <f t="shared" si="70"/>
        <v>50</v>
      </c>
      <c r="T117" s="292">
        <f t="shared" si="70"/>
        <v>50</v>
      </c>
      <c r="U117" s="292">
        <f t="shared" si="70"/>
        <v>75</v>
      </c>
      <c r="V117" s="307">
        <v>480</v>
      </c>
      <c r="W117" s="624">
        <v>462</v>
      </c>
      <c r="X117" s="625">
        <v>417</v>
      </c>
      <c r="Y117" s="626">
        <f t="shared" si="73"/>
        <v>25.610993013833834</v>
      </c>
      <c r="Z117" s="626">
        <f t="shared" si="73"/>
        <v>21.110993013833834</v>
      </c>
      <c r="AA117" s="626">
        <f t="shared" si="73"/>
        <v>23.906318478591302</v>
      </c>
      <c r="AB117" s="798">
        <f t="shared" si="73"/>
        <v>78.207762279515251</v>
      </c>
      <c r="AC117" s="798">
        <f t="shared" si="73"/>
        <v>72.18952614645616</v>
      </c>
      <c r="AD117" s="798">
        <f t="shared" si="74"/>
        <v>66.162575175451508</v>
      </c>
      <c r="AE117" s="638"/>
      <c r="AF117" s="638"/>
      <c r="AG117" s="640">
        <f>IF('Flow charts'!$A$238=$S$99,AB117, IF('Flow charts'!$A$238=$T$99,AC117, IF('Flow charts'!$A$238=$U$99,AD117,"SELECT BP")))</f>
        <v>72.18952614645616</v>
      </c>
      <c r="AH117" s="640">
        <f>IF('Flow charts'!$A$238=$S$99,Y117, IF('Flow charts'!$A$238=$T$99,Z117, IF('Flow charts'!$A$238=$U$99,AA117,"SELECT BP")))</f>
        <v>21.110993013833834</v>
      </c>
      <c r="AI117" s="640">
        <f t="shared" si="71"/>
        <v>51.078533132622326</v>
      </c>
      <c r="AJ117" s="638"/>
      <c r="AK117" s="638"/>
      <c r="AL117" s="638"/>
      <c r="AM117" s="638"/>
      <c r="AN117" s="638"/>
    </row>
    <row r="118" spans="1:40" ht="15.75" thickBot="1" x14ac:dyDescent="0.3">
      <c r="A118" s="886"/>
      <c r="B118" s="513" t="s">
        <v>18</v>
      </c>
      <c r="C118" s="249">
        <v>-50</v>
      </c>
      <c r="D118" s="249">
        <v>160</v>
      </c>
      <c r="E118" s="433">
        <f t="shared" si="63"/>
        <v>160</v>
      </c>
      <c r="F118" s="542" t="e">
        <f>IF(OR(#REF!="", E118=""),"",E118^3*M118+E118^2*N118+E118*O118+P118+(K118-#REF!)*L118)</f>
        <v>#REF!</v>
      </c>
      <c r="G118" s="375">
        <f t="shared" si="61"/>
        <v>27.626350483396276</v>
      </c>
      <c r="H118" s="543">
        <f t="shared" si="72"/>
        <v>16.260255999999998</v>
      </c>
      <c r="I118" s="380"/>
      <c r="J118" s="504"/>
      <c r="K118" s="381">
        <v>25</v>
      </c>
      <c r="L118" s="546">
        <v>-0.02</v>
      </c>
      <c r="M118" s="547">
        <v>1.11E-7</v>
      </c>
      <c r="N118" s="613">
        <v>-1.4899999999999999E-4</v>
      </c>
      <c r="O118" s="614">
        <v>9.1999999999999998E-2</v>
      </c>
      <c r="P118" s="550">
        <v>4.4000000000000004</v>
      </c>
      <c r="Q118" s="551">
        <v>0.6</v>
      </c>
      <c r="R118" s="382">
        <v>50</v>
      </c>
      <c r="S118" s="314">
        <f t="shared" si="70"/>
        <v>50</v>
      </c>
      <c r="T118" s="315">
        <f t="shared" si="70"/>
        <v>50</v>
      </c>
      <c r="U118" s="315">
        <f t="shared" si="70"/>
        <v>50</v>
      </c>
      <c r="V118" s="321">
        <v>480</v>
      </c>
      <c r="W118" s="615">
        <v>457</v>
      </c>
      <c r="X118" s="552">
        <v>434</v>
      </c>
      <c r="Y118" s="616">
        <f t="shared" si="73"/>
        <v>8.141375</v>
      </c>
      <c r="Z118" s="616">
        <f t="shared" si="73"/>
        <v>9.141375</v>
      </c>
      <c r="AA118" s="616">
        <f t="shared" si="73"/>
        <v>9.641375</v>
      </c>
      <c r="AB118" s="797">
        <f t="shared" si="73"/>
        <v>26.006111999999995</v>
      </c>
      <c r="AC118" s="797">
        <f t="shared" si="73"/>
        <v>26.419782222999999</v>
      </c>
      <c r="AD118" s="797">
        <f t="shared" si="74"/>
        <v>26.336817944000003</v>
      </c>
      <c r="AE118" s="638"/>
      <c r="AF118" s="638"/>
      <c r="AG118" s="640">
        <f>IF('Flow charts'!$A$238=$S$99,AB118, IF('Flow charts'!$A$238=$T$99,AC118, IF('Flow charts'!$A$238=$U$99,AD118,"SELECT BP")))</f>
        <v>26.419782222999999</v>
      </c>
      <c r="AH118" s="637">
        <f>IF('Flow charts'!$A$238=$S$99,Y118, IF('Flow charts'!$A$238=$T$99,Z118, IF('Flow charts'!$A$238=$U$99,AA118,"SELECT BP")))</f>
        <v>9.141375</v>
      </c>
      <c r="AI118" s="640">
        <f t="shared" si="71"/>
        <v>17.278407222999999</v>
      </c>
      <c r="AJ118" s="638"/>
      <c r="AK118" s="638"/>
      <c r="AL118" s="638"/>
      <c r="AM118" s="638"/>
      <c r="AN118" s="638"/>
    </row>
    <row r="119" spans="1:40" x14ac:dyDescent="0.25">
      <c r="G119" s="847"/>
      <c r="S119" s="263"/>
      <c r="T119" s="263"/>
      <c r="U119" s="263"/>
      <c r="V119" s="263"/>
      <c r="W119" s="263"/>
      <c r="X119" s="263"/>
      <c r="Y119" s="263"/>
      <c r="Z119" s="263"/>
      <c r="AA119" s="263"/>
      <c r="AB119" s="638"/>
      <c r="AC119" s="638"/>
      <c r="AD119" s="638"/>
      <c r="AE119" s="638"/>
      <c r="AF119" s="638"/>
    </row>
    <row r="120" spans="1:40" ht="15.75" thickBot="1" x14ac:dyDescent="0.3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</row>
    <row r="121" spans="1:40" ht="42" customHeight="1" thickBot="1" x14ac:dyDescent="0.3">
      <c r="B121" s="592"/>
      <c r="C121" s="899" t="s">
        <v>28</v>
      </c>
      <c r="D121" s="900"/>
      <c r="E121" s="267" t="s">
        <v>103</v>
      </c>
      <c r="F121" s="581"/>
      <c r="G121" s="873"/>
      <c r="H121" s="883" t="s">
        <v>133</v>
      </c>
      <c r="I121" s="883"/>
      <c r="J121" s="883"/>
    </row>
    <row r="122" spans="1:40" ht="48" customHeight="1" thickBot="1" x14ac:dyDescent="0.35">
      <c r="A122" s="334"/>
      <c r="B122" s="334"/>
      <c r="C122" s="823" t="s">
        <v>34</v>
      </c>
      <c r="D122" s="556" t="s">
        <v>30</v>
      </c>
      <c r="E122" s="557" t="s">
        <v>40</v>
      </c>
      <c r="F122" s="334"/>
      <c r="G122" s="275" t="str">
        <f>IF($E$11="m3/h","m3/h displayed on DM32",IF($E$11="m3/s","m3/s displayed on DM32",IF($E$11="L/s","L/s displayed on DM32","Metric displayed on DM32")))</f>
        <v>m3/h displayed on DM32</v>
      </c>
      <c r="H122" s="275" t="s">
        <v>26</v>
      </c>
      <c r="I122" s="276" t="s">
        <v>1</v>
      </c>
      <c r="J122" s="865" t="s">
        <v>0</v>
      </c>
      <c r="K122" s="864"/>
      <c r="L122" s="864"/>
      <c r="M122" s="864"/>
      <c r="N122" s="864"/>
    </row>
    <row r="123" spans="1:40" ht="15" customHeight="1" x14ac:dyDescent="0.25">
      <c r="A123" s="884" t="s">
        <v>119</v>
      </c>
      <c r="B123" s="825" t="s">
        <v>4</v>
      </c>
      <c r="C123" s="247">
        <v>30.9</v>
      </c>
      <c r="D123" s="247">
        <v>114.9</v>
      </c>
      <c r="E123" s="286">
        <f>IF(OR(C123="",D123="",D123&lt;0),"", D123)</f>
        <v>114.9</v>
      </c>
      <c r="G123" s="375">
        <f t="shared" ref="G123:G147" si="75">IF($E$11="m3/h",IF(H123="---","---",(H123*(1/0.58857777866))),IF($E$11="m3/s",IF(H123="---","---",FIXED((H123*0.0004719474432),5,FALSE)),IF($E$11="L/s",IF(H123="---","---",(H123*0.47194745)),"---")))</f>
        <v>8714.9096019536173</v>
      </c>
      <c r="H123" s="836">
        <f>IF(E123="---","---", E123^I123*J123)</f>
        <v>5129.4021347405651</v>
      </c>
      <c r="I123" s="507">
        <v>0.4879</v>
      </c>
      <c r="J123" s="827">
        <v>506.8</v>
      </c>
      <c r="Y123" s="269"/>
      <c r="Z123" s="269"/>
      <c r="AA123" s="269"/>
      <c r="AB123" s="269"/>
      <c r="AC123" s="776"/>
    </row>
    <row r="124" spans="1:40" ht="15" customHeight="1" x14ac:dyDescent="0.25">
      <c r="A124" s="885"/>
      <c r="B124" s="457" t="s">
        <v>55</v>
      </c>
      <c r="C124" s="250">
        <v>29.7</v>
      </c>
      <c r="D124" s="250">
        <v>254.3</v>
      </c>
      <c r="E124" s="323">
        <f>IF(OR(C124="",D124="",D124&lt;0),"", D124)</f>
        <v>254.3</v>
      </c>
      <c r="G124" s="375">
        <f t="shared" si="75"/>
        <v>4808.671841474953</v>
      </c>
      <c r="H124" s="837">
        <f>IF(E124="---","---", E124^I124*J124)</f>
        <v>2830.2773907602195</v>
      </c>
      <c r="I124" s="496">
        <v>0.48759999999999998</v>
      </c>
      <c r="J124" s="828">
        <v>190.1</v>
      </c>
      <c r="Y124" s="269"/>
      <c r="Z124" s="269"/>
      <c r="AA124" s="269"/>
      <c r="AB124" s="269"/>
      <c r="AC124" s="778"/>
    </row>
    <row r="125" spans="1:40" ht="15" customHeight="1" x14ac:dyDescent="0.25">
      <c r="A125" s="885"/>
      <c r="B125" s="572" t="s">
        <v>56</v>
      </c>
      <c r="C125" s="250">
        <v>30</v>
      </c>
      <c r="D125" s="250">
        <v>371.1</v>
      </c>
      <c r="E125" s="430">
        <f t="shared" ref="E125:E126" si="76">IF(OR(C125="",D125="",D125&lt;0),"", D125)</f>
        <v>371.1</v>
      </c>
      <c r="G125" s="375">
        <f t="shared" si="75"/>
        <v>1933.5388437293664</v>
      </c>
      <c r="H125" s="838">
        <f t="shared" ref="H125:H128" si="77">IF(E125="---","---", E125^I125*J125)</f>
        <v>1138.0379975950555</v>
      </c>
      <c r="I125" s="496">
        <v>0.4955</v>
      </c>
      <c r="J125" s="829">
        <v>60.67</v>
      </c>
      <c r="Y125" s="631"/>
      <c r="Z125" s="631"/>
      <c r="AA125" s="632"/>
      <c r="AB125" s="632"/>
      <c r="AC125" s="779"/>
    </row>
    <row r="126" spans="1:40" ht="15" customHeight="1" x14ac:dyDescent="0.25">
      <c r="A126" s="885"/>
      <c r="B126" s="357" t="s">
        <v>115</v>
      </c>
      <c r="C126" s="250">
        <v>27.8</v>
      </c>
      <c r="D126" s="250">
        <v>397.5</v>
      </c>
      <c r="E126" s="430">
        <f t="shared" si="76"/>
        <v>397.5</v>
      </c>
      <c r="G126" s="375">
        <f t="shared" si="75"/>
        <v>783.39442616267684</v>
      </c>
      <c r="H126" s="839">
        <f t="shared" si="77"/>
        <v>461.08855116545379</v>
      </c>
      <c r="I126" s="496">
        <v>0.51319999999999999</v>
      </c>
      <c r="J126" s="829">
        <v>21.37</v>
      </c>
      <c r="Y126" s="633"/>
      <c r="Z126" s="633"/>
      <c r="AA126" s="631"/>
      <c r="AB126" s="631"/>
      <c r="AC126" s="780"/>
    </row>
    <row r="127" spans="1:40" ht="15" customHeight="1" x14ac:dyDescent="0.25">
      <c r="A127" s="885"/>
      <c r="B127" s="357" t="s">
        <v>116</v>
      </c>
      <c r="C127" s="250">
        <v>29.3</v>
      </c>
      <c r="D127" s="250">
        <v>245</v>
      </c>
      <c r="E127" s="358">
        <f>IF(OR(C127="",D127="",D127&lt;0),"", D127)</f>
        <v>245</v>
      </c>
      <c r="G127" s="375">
        <f t="shared" si="75"/>
        <v>185.87395583113315</v>
      </c>
      <c r="H127" s="837">
        <f t="shared" si="77"/>
        <v>109.40128003383531</v>
      </c>
      <c r="I127" s="496">
        <v>0.49419999999999997</v>
      </c>
      <c r="J127" s="830">
        <v>7.2160000000000002</v>
      </c>
      <c r="Z127" s="634"/>
      <c r="AA127" s="635"/>
      <c r="AB127" s="635"/>
      <c r="AC127" s="781"/>
    </row>
    <row r="128" spans="1:40" ht="15.75" customHeight="1" thickBot="1" x14ac:dyDescent="0.3">
      <c r="A128" s="886"/>
      <c r="B128" s="513" t="s">
        <v>117</v>
      </c>
      <c r="C128" s="746">
        <v>31</v>
      </c>
      <c r="D128" s="746">
        <v>265.3</v>
      </c>
      <c r="E128" s="433">
        <f>IF(OR(C128="",D128="",D128&lt;0),"", D128)</f>
        <v>265.3</v>
      </c>
      <c r="G128" s="375">
        <f t="shared" si="75"/>
        <v>87.559727131129605</v>
      </c>
      <c r="H128" s="840">
        <f t="shared" si="77"/>
        <v>51.535709694916001</v>
      </c>
      <c r="I128" s="826">
        <v>0.52669999999999995</v>
      </c>
      <c r="J128" s="831">
        <v>2.726</v>
      </c>
      <c r="Z128" s="634"/>
      <c r="AA128" s="635"/>
      <c r="AB128" s="635"/>
      <c r="AC128" s="781"/>
    </row>
    <row r="129" spans="1:29" ht="15.75" thickBot="1" x14ac:dyDescent="0.3">
      <c r="C129" s="471"/>
      <c r="D129" s="472"/>
      <c r="E129" s="842"/>
      <c r="G129" s="475"/>
      <c r="I129" s="841"/>
      <c r="J129" s="842"/>
      <c r="Z129" s="634"/>
      <c r="AA129" s="635"/>
      <c r="AB129" s="635"/>
      <c r="AC129" s="781"/>
    </row>
    <row r="130" spans="1:29" x14ac:dyDescent="0.25">
      <c r="A130" s="884" t="s">
        <v>120</v>
      </c>
      <c r="B130" s="521" t="s">
        <v>4</v>
      </c>
      <c r="C130" s="844">
        <v>30.9</v>
      </c>
      <c r="D130" s="845">
        <v>114.9</v>
      </c>
      <c r="E130" s="286">
        <f>IF(OR(C130="",D130="",D130&lt;0),"", D130)</f>
        <v>114.9</v>
      </c>
      <c r="G130" s="375">
        <f t="shared" si="75"/>
        <v>8739.2674919293622</v>
      </c>
      <c r="H130" s="836">
        <f>IF(E130="---","---", E130^I130*J130)</f>
        <v>5143.7386475153335</v>
      </c>
      <c r="I130" s="507">
        <v>0.49180000000000001</v>
      </c>
      <c r="J130" s="827">
        <v>498.9</v>
      </c>
      <c r="Z130" s="634"/>
      <c r="AA130" s="634"/>
      <c r="AB130" s="635"/>
      <c r="AC130" s="781"/>
    </row>
    <row r="131" spans="1:29" x14ac:dyDescent="0.25">
      <c r="A131" s="885"/>
      <c r="B131" s="457" t="s">
        <v>55</v>
      </c>
      <c r="C131" s="254">
        <v>29.7</v>
      </c>
      <c r="D131" s="834">
        <v>254.3</v>
      </c>
      <c r="E131" s="323">
        <f>IF(OR(C131="",D131="",D131&lt;0),"", D131)</f>
        <v>254.3</v>
      </c>
      <c r="G131" s="375">
        <f t="shared" si="75"/>
        <v>4843.4195537398928</v>
      </c>
      <c r="H131" s="837">
        <f>IF(E131="---","---", E131^I131*J131)</f>
        <v>2850.7291220586349</v>
      </c>
      <c r="I131" s="496">
        <v>0.4889</v>
      </c>
      <c r="J131" s="828">
        <v>190.1</v>
      </c>
      <c r="Z131" s="345"/>
      <c r="AA131" s="345"/>
      <c r="AB131" s="345"/>
      <c r="AC131" s="777"/>
    </row>
    <row r="132" spans="1:29" x14ac:dyDescent="0.25">
      <c r="A132" s="885"/>
      <c r="B132" s="495" t="s">
        <v>56</v>
      </c>
      <c r="C132" s="254">
        <v>30</v>
      </c>
      <c r="D132" s="834">
        <v>371.1</v>
      </c>
      <c r="E132" s="430">
        <f t="shared" ref="E132:E133" si="78">IF(OR(C132="",D132="",D132&lt;0),"", D132)</f>
        <v>371.1</v>
      </c>
      <c r="G132" s="375">
        <f t="shared" si="75"/>
        <v>1926.7573661709969</v>
      </c>
      <c r="H132" s="838">
        <f t="shared" ref="H132:H135" si="79">IF(E132="---","---", E132^I132*J132)</f>
        <v>1134.0465705977176</v>
      </c>
      <c r="I132" s="496">
        <v>0.49580000000000002</v>
      </c>
      <c r="J132" s="829">
        <v>60.35</v>
      </c>
      <c r="Z132" s="345"/>
      <c r="AA132" s="345"/>
      <c r="AB132" s="345"/>
      <c r="AC132" s="777"/>
    </row>
    <row r="133" spans="1:29" x14ac:dyDescent="0.25">
      <c r="A133" s="885"/>
      <c r="B133" s="832" t="s">
        <v>115</v>
      </c>
      <c r="C133" s="254">
        <v>27.8</v>
      </c>
      <c r="D133" s="834">
        <v>397.5</v>
      </c>
      <c r="E133" s="430">
        <f t="shared" si="78"/>
        <v>397.5</v>
      </c>
      <c r="G133" s="375">
        <f t="shared" si="75"/>
        <v>775.51491001335376</v>
      </c>
      <c r="H133" s="839">
        <f t="shared" si="79"/>
        <v>456.45084305336957</v>
      </c>
      <c r="I133" s="496">
        <v>0.51870000000000005</v>
      </c>
      <c r="J133" s="829">
        <v>20.47</v>
      </c>
      <c r="Z133" s="345"/>
      <c r="AA133" s="345"/>
      <c r="AB133" s="345"/>
      <c r="AC133" s="777"/>
    </row>
    <row r="134" spans="1:29" x14ac:dyDescent="0.25">
      <c r="A134" s="885"/>
      <c r="B134" s="832" t="s">
        <v>116</v>
      </c>
      <c r="C134" s="254">
        <v>29.3</v>
      </c>
      <c r="D134" s="834">
        <v>245</v>
      </c>
      <c r="E134" s="358">
        <f>IF(OR(C134="",D134="",D134&lt;0),"", D134)</f>
        <v>245</v>
      </c>
      <c r="G134" s="375">
        <f t="shared" si="75"/>
        <v>184.92349080781187</v>
      </c>
      <c r="H134" s="837">
        <f t="shared" si="79"/>
        <v>108.84185744171485</v>
      </c>
      <c r="I134" s="496">
        <v>0.50219999999999998</v>
      </c>
      <c r="J134" s="830">
        <v>6.87</v>
      </c>
      <c r="Z134" s="345"/>
      <c r="AA134" s="345"/>
      <c r="AB134" s="345"/>
      <c r="AC134" s="777"/>
    </row>
    <row r="135" spans="1:29" ht="15.75" thickBot="1" x14ac:dyDescent="0.3">
      <c r="A135" s="886"/>
      <c r="B135" s="502" t="s">
        <v>117</v>
      </c>
      <c r="C135" s="747">
        <v>31</v>
      </c>
      <c r="D135" s="846">
        <v>265.3</v>
      </c>
      <c r="E135" s="433">
        <f>IF(OR(C135="",D135="",D135&lt;0),"", D135)</f>
        <v>265.3</v>
      </c>
      <c r="G135" s="375">
        <f t="shared" si="75"/>
        <v>83.795913952554855</v>
      </c>
      <c r="H135" s="840">
        <f t="shared" si="79"/>
        <v>49.320412894979242</v>
      </c>
      <c r="I135" s="826">
        <v>0.51390000000000002</v>
      </c>
      <c r="J135" s="831">
        <v>2.802</v>
      </c>
      <c r="Z135" s="345"/>
      <c r="AA135" s="345"/>
      <c r="AB135" s="345"/>
      <c r="AC135" s="777"/>
    </row>
    <row r="136" spans="1:29" ht="15.75" thickBot="1" x14ac:dyDescent="0.3">
      <c r="C136" s="471"/>
      <c r="D136" s="472"/>
      <c r="E136" s="843"/>
      <c r="G136" s="475"/>
      <c r="I136" s="322"/>
      <c r="J136" s="843"/>
      <c r="Z136" s="345"/>
      <c r="AA136" s="345"/>
      <c r="AB136" s="345"/>
      <c r="AC136" s="777"/>
    </row>
    <row r="137" spans="1:29" x14ac:dyDescent="0.25">
      <c r="A137" s="884" t="s">
        <v>121</v>
      </c>
      <c r="B137" s="521" t="s">
        <v>4</v>
      </c>
      <c r="C137" s="844">
        <v>30.9</v>
      </c>
      <c r="D137" s="845">
        <v>114.9</v>
      </c>
      <c r="E137" s="286">
        <f>IF(OR(C137="",D137="",D137&lt;0),"", D137)</f>
        <v>114.9</v>
      </c>
      <c r="G137" s="375">
        <f t="shared" si="75"/>
        <v>7433.7323904749037</v>
      </c>
      <c r="H137" s="836">
        <f>IF(E137="---","---", E137^I137*J137)</f>
        <v>4375.3296975386111</v>
      </c>
      <c r="I137" s="507">
        <v>0.48480000000000001</v>
      </c>
      <c r="J137" s="827">
        <v>438.7</v>
      </c>
      <c r="Z137" s="345"/>
      <c r="AA137" s="345"/>
      <c r="AB137" s="345"/>
      <c r="AC137" s="777"/>
    </row>
    <row r="138" spans="1:29" x14ac:dyDescent="0.25">
      <c r="A138" s="885"/>
      <c r="B138" s="457" t="s">
        <v>55</v>
      </c>
      <c r="C138" s="254">
        <v>29.7</v>
      </c>
      <c r="D138" s="834">
        <v>254.3</v>
      </c>
      <c r="E138" s="323">
        <f>IF(OR(C138="",D138="",D138&lt;0),"", D138)</f>
        <v>254.3</v>
      </c>
      <c r="G138" s="375">
        <f t="shared" si="75"/>
        <v>4242.3813057994003</v>
      </c>
      <c r="H138" s="837">
        <f>IF(E138="---","---", E138^I138*J138)</f>
        <v>2496.9713651961215</v>
      </c>
      <c r="I138" s="496">
        <v>0.49519999999999997</v>
      </c>
      <c r="J138" s="828">
        <v>160.80000000000001</v>
      </c>
      <c r="Z138" s="345"/>
      <c r="AA138" s="345"/>
      <c r="AB138" s="345"/>
      <c r="AC138" s="777"/>
    </row>
    <row r="139" spans="1:29" x14ac:dyDescent="0.25">
      <c r="A139" s="885"/>
      <c r="B139" s="495" t="s">
        <v>56</v>
      </c>
      <c r="C139" s="254">
        <v>30</v>
      </c>
      <c r="D139" s="834">
        <v>371.1</v>
      </c>
      <c r="E139" s="430">
        <f t="shared" ref="E139:E140" si="80">IF(OR(C139="",D139="",D139&lt;0),"", D139)</f>
        <v>371.1</v>
      </c>
      <c r="G139" s="375">
        <f t="shared" si="75"/>
        <v>1544.1294411447159</v>
      </c>
      <c r="H139" s="838">
        <f t="shared" ref="H139:H142" si="81">IF(E139="---","---", E139^I139*J139)</f>
        <v>908.84027643246418</v>
      </c>
      <c r="I139" s="496">
        <v>0.49680000000000002</v>
      </c>
      <c r="J139" s="829">
        <v>48.08</v>
      </c>
      <c r="Z139" s="345"/>
      <c r="AA139" s="345"/>
      <c r="AB139" s="345"/>
      <c r="AC139" s="777"/>
    </row>
    <row r="140" spans="1:29" x14ac:dyDescent="0.25">
      <c r="A140" s="885"/>
      <c r="B140" s="832" t="s">
        <v>115</v>
      </c>
      <c r="C140" s="254">
        <v>27.8</v>
      </c>
      <c r="D140" s="834">
        <v>397.5</v>
      </c>
      <c r="E140" s="430">
        <f t="shared" si="80"/>
        <v>397.5</v>
      </c>
      <c r="G140" s="375">
        <f t="shared" si="75"/>
        <v>422.71983777622705</v>
      </c>
      <c r="H140" s="839">
        <f t="shared" si="81"/>
        <v>248.80350311384731</v>
      </c>
      <c r="I140" s="496">
        <v>0.51570000000000005</v>
      </c>
      <c r="J140" s="829">
        <v>11.36</v>
      </c>
      <c r="Z140" s="345"/>
      <c r="AA140" s="345"/>
      <c r="AB140" s="345"/>
      <c r="AC140" s="777"/>
    </row>
    <row r="141" spans="1:29" x14ac:dyDescent="0.25">
      <c r="A141" s="885"/>
      <c r="B141" s="832" t="s">
        <v>116</v>
      </c>
      <c r="C141" s="254">
        <v>29.3</v>
      </c>
      <c r="D141" s="834">
        <v>245</v>
      </c>
      <c r="E141" s="358">
        <f>IF(OR(C141="",D141="",D141&lt;0),"", D141)</f>
        <v>245</v>
      </c>
      <c r="G141" s="375">
        <f t="shared" si="75"/>
        <v>196.12043224946663</v>
      </c>
      <c r="H141" s="837">
        <f t="shared" si="81"/>
        <v>115.43212836323011</v>
      </c>
      <c r="I141" s="496">
        <v>0.50319999999999998</v>
      </c>
      <c r="J141" s="830">
        <v>7.2460000000000004</v>
      </c>
      <c r="Z141" s="345"/>
      <c r="AA141" s="345"/>
      <c r="AB141" s="345"/>
      <c r="AC141" s="777"/>
    </row>
    <row r="142" spans="1:29" ht="15.75" thickBot="1" x14ac:dyDescent="0.3">
      <c r="A142" s="886"/>
      <c r="B142" s="502" t="s">
        <v>117</v>
      </c>
      <c r="C142" s="748">
        <v>31</v>
      </c>
      <c r="D142" s="835">
        <v>265.3</v>
      </c>
      <c r="E142" s="433">
        <f>IF(OR(C142="",D142="",D142&lt;0),"", D142)</f>
        <v>265.3</v>
      </c>
      <c r="G142" s="375">
        <f t="shared" si="75"/>
        <v>85.06813913115937</v>
      </c>
      <c r="H142" s="840">
        <f t="shared" si="81"/>
        <v>50.069216364557612</v>
      </c>
      <c r="I142" s="826">
        <v>0.51659999999999995</v>
      </c>
      <c r="J142" s="831">
        <v>2.802</v>
      </c>
      <c r="Z142" s="345"/>
      <c r="AA142" s="345"/>
      <c r="AB142" s="345"/>
      <c r="AC142" s="777"/>
    </row>
    <row r="143" spans="1:29" ht="15.75" thickBot="1" x14ac:dyDescent="0.3">
      <c r="C143" s="841"/>
      <c r="D143" s="842"/>
      <c r="E143" s="843"/>
      <c r="G143" s="475"/>
      <c r="I143" s="322"/>
      <c r="J143" s="843"/>
      <c r="Z143" s="345"/>
      <c r="AA143" s="345"/>
      <c r="AB143" s="345"/>
      <c r="AC143" s="777"/>
    </row>
    <row r="144" spans="1:29" x14ac:dyDescent="0.25">
      <c r="A144" s="884" t="s">
        <v>122</v>
      </c>
      <c r="B144" s="521" t="s">
        <v>4</v>
      </c>
      <c r="C144" s="253">
        <v>30.9</v>
      </c>
      <c r="D144" s="833">
        <v>114.9</v>
      </c>
      <c r="E144" s="286">
        <f>IF(OR(C144="",D144="",D144&lt;0),"", D144)</f>
        <v>114.9</v>
      </c>
      <c r="F144" s="847"/>
      <c r="G144" s="375">
        <f t="shared" si="75"/>
        <v>2009.9197649331957</v>
      </c>
      <c r="H144" s="836">
        <f t="shared" ref="H144:H147" si="82">J144*D144^I144</f>
        <v>1182.9941105292098</v>
      </c>
      <c r="I144" s="507">
        <v>0.50319999999999998</v>
      </c>
      <c r="J144" s="827">
        <v>108.7</v>
      </c>
      <c r="Z144" s="345"/>
      <c r="AA144" s="345"/>
      <c r="AB144" s="345"/>
      <c r="AC144" s="777"/>
    </row>
    <row r="145" spans="1:29" x14ac:dyDescent="0.25">
      <c r="A145" s="885"/>
      <c r="B145" s="457" t="s">
        <v>123</v>
      </c>
      <c r="C145" s="254">
        <v>29.7</v>
      </c>
      <c r="D145" s="834">
        <v>254.3</v>
      </c>
      <c r="E145" s="323">
        <f>IF(OR(C145="",D145="",D145&lt;0),"", D145)</f>
        <v>254.3</v>
      </c>
      <c r="F145" s="269"/>
      <c r="G145" s="375">
        <f t="shared" si="75"/>
        <v>1120.6362270254767</v>
      </c>
      <c r="H145" s="837">
        <f t="shared" si="82"/>
        <v>659.58158118857864</v>
      </c>
      <c r="I145" s="496">
        <v>0.50380000000000003</v>
      </c>
      <c r="J145" s="829">
        <v>40.5</v>
      </c>
      <c r="Z145" s="345"/>
      <c r="AA145" s="345"/>
      <c r="AB145" s="345"/>
      <c r="AC145" s="777"/>
    </row>
    <row r="146" spans="1:29" x14ac:dyDescent="0.25">
      <c r="A146" s="885"/>
      <c r="B146" s="495" t="s">
        <v>124</v>
      </c>
      <c r="C146" s="254">
        <v>30</v>
      </c>
      <c r="D146" s="834">
        <v>371.1</v>
      </c>
      <c r="E146" s="430">
        <f t="shared" ref="E146:E147" si="83">IF(OR(C146="",D146="",D146&lt;0),"", D146)</f>
        <v>371.1</v>
      </c>
      <c r="F146" s="269"/>
      <c r="G146" s="375">
        <f t="shared" si="75"/>
        <v>519.06936114763346</v>
      </c>
      <c r="H146" s="838">
        <f t="shared" si="82"/>
        <v>305.51269155473943</v>
      </c>
      <c r="I146" s="496">
        <v>0.50639999999999996</v>
      </c>
      <c r="J146" s="829">
        <v>15.27</v>
      </c>
      <c r="Z146" s="345"/>
      <c r="AA146" s="345"/>
      <c r="AB146" s="345"/>
      <c r="AC146" s="777"/>
    </row>
    <row r="147" spans="1:29" ht="15.75" thickBot="1" x14ac:dyDescent="0.3">
      <c r="A147" s="886"/>
      <c r="B147" s="502" t="s">
        <v>125</v>
      </c>
      <c r="C147" s="255">
        <v>27.8</v>
      </c>
      <c r="D147" s="848">
        <v>397.5</v>
      </c>
      <c r="E147" s="433">
        <f t="shared" si="83"/>
        <v>397.5</v>
      </c>
      <c r="F147" s="849"/>
      <c r="G147" s="375">
        <f t="shared" si="75"/>
        <v>215.11379985138086</v>
      </c>
      <c r="H147" s="840">
        <f t="shared" si="82"/>
        <v>126.6112024756376</v>
      </c>
      <c r="I147" s="826">
        <v>0.51400000000000001</v>
      </c>
      <c r="J147" s="831">
        <v>5.84</v>
      </c>
      <c r="Z147" s="345"/>
      <c r="AA147" s="345"/>
      <c r="AB147" s="345"/>
      <c r="AC147" s="777"/>
    </row>
    <row r="148" spans="1:29" x14ac:dyDescent="0.25">
      <c r="G148" s="847"/>
      <c r="Z148" s="345"/>
      <c r="AA148" s="345"/>
      <c r="AB148" s="345"/>
      <c r="AC148" s="777"/>
    </row>
    <row r="149" spans="1:29" x14ac:dyDescent="0.25">
      <c r="Z149" s="345"/>
      <c r="AA149" s="345"/>
      <c r="AB149" s="345"/>
      <c r="AC149" s="777"/>
    </row>
    <row r="150" spans="1:29" x14ac:dyDescent="0.25">
      <c r="Z150" s="345"/>
      <c r="AA150" s="345"/>
      <c r="AB150" s="345"/>
      <c r="AC150" s="777"/>
    </row>
    <row r="151" spans="1:29" x14ac:dyDescent="0.25">
      <c r="Z151" s="345"/>
      <c r="AA151" s="345"/>
      <c r="AB151" s="345"/>
      <c r="AC151" s="777"/>
    </row>
    <row r="152" spans="1:29" x14ac:dyDescent="0.25">
      <c r="Z152" s="345"/>
      <c r="AA152" s="345"/>
      <c r="AB152" s="345"/>
      <c r="AC152" s="777"/>
    </row>
    <row r="153" spans="1:29" x14ac:dyDescent="0.25">
      <c r="Z153" s="345"/>
      <c r="AA153" s="345"/>
      <c r="AB153" s="345"/>
      <c r="AC153" s="777"/>
    </row>
    <row r="154" spans="1:29" x14ac:dyDescent="0.25">
      <c r="Z154" s="345"/>
      <c r="AA154" s="345"/>
      <c r="AB154" s="345"/>
      <c r="AC154" s="777"/>
    </row>
    <row r="155" spans="1:29" x14ac:dyDescent="0.25">
      <c r="Z155" s="345"/>
      <c r="AA155" s="345"/>
      <c r="AB155" s="345"/>
      <c r="AC155" s="777"/>
    </row>
    <row r="156" spans="1:29" x14ac:dyDescent="0.25">
      <c r="Z156" s="345"/>
      <c r="AA156" s="345"/>
      <c r="AB156" s="345"/>
      <c r="AC156" s="777"/>
    </row>
    <row r="157" spans="1:29" x14ac:dyDescent="0.25">
      <c r="Z157" s="345"/>
      <c r="AA157" s="345"/>
      <c r="AB157" s="345"/>
      <c r="AC157" s="777"/>
    </row>
    <row r="158" spans="1:29" x14ac:dyDescent="0.25">
      <c r="Z158" s="345"/>
      <c r="AA158" s="345"/>
      <c r="AB158" s="345"/>
      <c r="AC158" s="777"/>
    </row>
    <row r="159" spans="1:29" x14ac:dyDescent="0.25">
      <c r="Z159" s="345"/>
      <c r="AA159" s="345"/>
      <c r="AB159" s="345"/>
      <c r="AC159" s="777"/>
    </row>
    <row r="160" spans="1:29" x14ac:dyDescent="0.25">
      <c r="Z160" s="345"/>
      <c r="AA160" s="345"/>
      <c r="AB160" s="345"/>
      <c r="AC160" s="777"/>
    </row>
    <row r="161" spans="26:29" x14ac:dyDescent="0.25">
      <c r="Z161" s="345"/>
      <c r="AA161" s="345"/>
      <c r="AB161" s="345"/>
      <c r="AC161" s="777"/>
    </row>
    <row r="162" spans="26:29" x14ac:dyDescent="0.25">
      <c r="Z162" s="345"/>
      <c r="AA162" s="345"/>
      <c r="AB162" s="345"/>
      <c r="AC162" s="777"/>
    </row>
    <row r="163" spans="26:29" x14ac:dyDescent="0.25">
      <c r="Z163" s="345"/>
      <c r="AA163" s="345"/>
      <c r="AB163" s="345"/>
      <c r="AC163" s="777"/>
    </row>
    <row r="164" spans="26:29" x14ac:dyDescent="0.25">
      <c r="Z164" s="345"/>
      <c r="AA164" s="345"/>
      <c r="AB164" s="345"/>
      <c r="AC164" s="777"/>
    </row>
    <row r="165" spans="26:29" x14ac:dyDescent="0.25">
      <c r="Z165" s="345"/>
      <c r="AA165" s="345"/>
      <c r="AB165" s="345"/>
      <c r="AC165" s="777"/>
    </row>
    <row r="166" spans="26:29" x14ac:dyDescent="0.25">
      <c r="Z166" s="345"/>
      <c r="AA166" s="345"/>
      <c r="AB166" s="345"/>
      <c r="AC166" s="777"/>
    </row>
    <row r="167" spans="26:29" x14ac:dyDescent="0.25">
      <c r="Z167" s="345"/>
      <c r="AA167" s="345"/>
      <c r="AB167" s="345"/>
      <c r="AC167" s="777"/>
    </row>
    <row r="168" spans="26:29" x14ac:dyDescent="0.25">
      <c r="Z168" s="345"/>
      <c r="AA168" s="345"/>
      <c r="AB168" s="345"/>
      <c r="AC168" s="777"/>
    </row>
    <row r="169" spans="26:29" x14ac:dyDescent="0.25">
      <c r="Z169" s="345"/>
      <c r="AA169" s="345"/>
      <c r="AB169" s="345"/>
      <c r="AC169" s="777"/>
    </row>
    <row r="170" spans="26:29" x14ac:dyDescent="0.25">
      <c r="Z170" s="345"/>
      <c r="AA170" s="345"/>
      <c r="AB170" s="345"/>
      <c r="AC170" s="777"/>
    </row>
    <row r="171" spans="26:29" x14ac:dyDescent="0.25">
      <c r="Z171" s="345"/>
      <c r="AA171" s="345"/>
      <c r="AB171" s="345"/>
      <c r="AC171" s="777"/>
    </row>
    <row r="172" spans="26:29" x14ac:dyDescent="0.25">
      <c r="Z172" s="345"/>
      <c r="AA172" s="345"/>
      <c r="AB172" s="345"/>
      <c r="AC172" s="777"/>
    </row>
    <row r="173" spans="26:29" x14ac:dyDescent="0.25">
      <c r="Z173" s="345"/>
      <c r="AA173" s="345"/>
      <c r="AB173" s="345"/>
      <c r="AC173" s="777"/>
    </row>
    <row r="174" spans="26:29" x14ac:dyDescent="0.25">
      <c r="Z174" s="345"/>
      <c r="AA174" s="345"/>
      <c r="AB174" s="345"/>
      <c r="AC174" s="777"/>
    </row>
    <row r="175" spans="26:29" x14ac:dyDescent="0.25">
      <c r="Z175" s="345"/>
      <c r="AA175" s="345"/>
      <c r="AB175" s="345"/>
      <c r="AC175" s="777"/>
    </row>
    <row r="176" spans="26:29" x14ac:dyDescent="0.25">
      <c r="Z176" s="345"/>
      <c r="AA176" s="345"/>
      <c r="AB176" s="345"/>
      <c r="AC176" s="777"/>
    </row>
    <row r="177" spans="26:29" x14ac:dyDescent="0.25">
      <c r="Z177" s="345"/>
      <c r="AA177" s="345"/>
      <c r="AB177" s="345"/>
      <c r="AC177" s="777"/>
    </row>
    <row r="178" spans="26:29" x14ac:dyDescent="0.25">
      <c r="Z178" s="345"/>
      <c r="AA178" s="345"/>
      <c r="AB178" s="345"/>
      <c r="AC178" s="777"/>
    </row>
    <row r="179" spans="26:29" x14ac:dyDescent="0.25">
      <c r="Z179" s="345"/>
      <c r="AA179" s="345"/>
      <c r="AB179" s="345"/>
      <c r="AC179" s="777"/>
    </row>
    <row r="180" spans="26:29" x14ac:dyDescent="0.25">
      <c r="Z180" s="345"/>
      <c r="AA180" s="345"/>
      <c r="AB180" s="345"/>
      <c r="AC180" s="777"/>
    </row>
    <row r="181" spans="26:29" x14ac:dyDescent="0.25">
      <c r="Z181" s="345"/>
      <c r="AA181" s="345"/>
      <c r="AB181" s="345"/>
      <c r="AC181" s="777"/>
    </row>
    <row r="182" spans="26:29" x14ac:dyDescent="0.25">
      <c r="Z182" s="345"/>
      <c r="AA182" s="345"/>
      <c r="AB182" s="345"/>
      <c r="AC182" s="777"/>
    </row>
    <row r="183" spans="26:29" x14ac:dyDescent="0.25">
      <c r="Z183" s="345"/>
      <c r="AA183" s="345"/>
      <c r="AB183" s="345"/>
      <c r="AC183" s="777"/>
    </row>
    <row r="184" spans="26:29" x14ac:dyDescent="0.25">
      <c r="Z184" s="345"/>
      <c r="AA184" s="345"/>
      <c r="AB184" s="345"/>
      <c r="AC184" s="777"/>
    </row>
    <row r="185" spans="26:29" x14ac:dyDescent="0.25">
      <c r="Z185" s="345"/>
      <c r="AA185" s="345"/>
      <c r="AB185" s="345"/>
      <c r="AC185" s="777"/>
    </row>
    <row r="186" spans="26:29" x14ac:dyDescent="0.25">
      <c r="Z186" s="345"/>
      <c r="AA186" s="345"/>
      <c r="AB186" s="345"/>
      <c r="AC186" s="777"/>
    </row>
    <row r="187" spans="26:29" x14ac:dyDescent="0.25">
      <c r="Z187" s="345"/>
      <c r="AA187" s="345"/>
      <c r="AB187" s="345"/>
      <c r="AC187" s="777"/>
    </row>
    <row r="188" spans="26:29" x14ac:dyDescent="0.25">
      <c r="Z188" s="345"/>
      <c r="AA188" s="345"/>
      <c r="AB188" s="345"/>
      <c r="AC188" s="777"/>
    </row>
    <row r="189" spans="26:29" x14ac:dyDescent="0.25">
      <c r="Z189" s="345"/>
      <c r="AA189" s="345"/>
      <c r="AB189" s="345"/>
      <c r="AC189" s="777"/>
    </row>
    <row r="190" spans="26:29" x14ac:dyDescent="0.25">
      <c r="Z190" s="345"/>
      <c r="AA190" s="345"/>
      <c r="AB190" s="345"/>
      <c r="AC190" s="777"/>
    </row>
    <row r="191" spans="26:29" x14ac:dyDescent="0.25">
      <c r="Z191" s="345"/>
      <c r="AA191" s="345"/>
      <c r="AB191" s="345"/>
      <c r="AC191" s="777"/>
    </row>
    <row r="192" spans="26:29" x14ac:dyDescent="0.25">
      <c r="Z192" s="345"/>
      <c r="AA192" s="345"/>
      <c r="AB192" s="345"/>
      <c r="AC192" s="777"/>
    </row>
    <row r="193" spans="26:29" x14ac:dyDescent="0.25">
      <c r="Z193" s="345"/>
      <c r="AA193" s="345"/>
      <c r="AB193" s="345"/>
      <c r="AC193" s="777"/>
    </row>
    <row r="194" spans="26:29" x14ac:dyDescent="0.25">
      <c r="Z194" s="345"/>
      <c r="AA194" s="345"/>
      <c r="AB194" s="345"/>
      <c r="AC194" s="777"/>
    </row>
    <row r="195" spans="26:29" x14ac:dyDescent="0.25">
      <c r="Z195" s="345"/>
      <c r="AA195" s="345"/>
      <c r="AB195" s="345"/>
      <c r="AC195" s="777"/>
    </row>
    <row r="196" spans="26:29" x14ac:dyDescent="0.25">
      <c r="Z196" s="345"/>
      <c r="AA196" s="345"/>
      <c r="AB196" s="345"/>
      <c r="AC196" s="777"/>
    </row>
    <row r="197" spans="26:29" x14ac:dyDescent="0.25">
      <c r="Z197" s="345"/>
      <c r="AA197" s="345"/>
      <c r="AB197" s="345"/>
      <c r="AC197" s="777"/>
    </row>
    <row r="198" spans="26:29" x14ac:dyDescent="0.25">
      <c r="Z198" s="345"/>
      <c r="AA198" s="345"/>
      <c r="AB198" s="345"/>
      <c r="AC198" s="777"/>
    </row>
    <row r="199" spans="26:29" x14ac:dyDescent="0.25">
      <c r="Z199" s="345"/>
      <c r="AA199" s="345"/>
      <c r="AB199" s="345"/>
      <c r="AC199" s="777"/>
    </row>
    <row r="200" spans="26:29" x14ac:dyDescent="0.25">
      <c r="Z200" s="345"/>
      <c r="AA200" s="345"/>
      <c r="AB200" s="345"/>
      <c r="AC200" s="777"/>
    </row>
    <row r="201" spans="26:29" x14ac:dyDescent="0.25">
      <c r="Z201" s="345"/>
      <c r="AA201" s="345"/>
      <c r="AB201" s="345"/>
      <c r="AC201" s="777"/>
    </row>
    <row r="202" spans="26:29" x14ac:dyDescent="0.25">
      <c r="Z202" s="345"/>
      <c r="AA202" s="345"/>
      <c r="AB202" s="345"/>
      <c r="AC202" s="777"/>
    </row>
    <row r="203" spans="26:29" x14ac:dyDescent="0.25">
      <c r="Z203" s="345"/>
      <c r="AA203" s="345"/>
      <c r="AB203" s="345"/>
      <c r="AC203" s="777"/>
    </row>
    <row r="204" spans="26:29" x14ac:dyDescent="0.25">
      <c r="Z204" s="345"/>
      <c r="AA204" s="345"/>
      <c r="AB204" s="345"/>
      <c r="AC204" s="777"/>
    </row>
    <row r="205" spans="26:29" x14ac:dyDescent="0.25">
      <c r="Z205" s="345"/>
      <c r="AA205" s="345"/>
      <c r="AB205" s="345"/>
      <c r="AC205" s="777"/>
    </row>
    <row r="206" spans="26:29" x14ac:dyDescent="0.25">
      <c r="Z206" s="345"/>
      <c r="AA206" s="345"/>
      <c r="AB206" s="345"/>
      <c r="AC206" s="777"/>
    </row>
    <row r="207" spans="26:29" x14ac:dyDescent="0.25">
      <c r="Z207" s="345"/>
      <c r="AA207" s="345"/>
      <c r="AB207" s="345"/>
      <c r="AC207" s="777"/>
    </row>
    <row r="208" spans="26:29" x14ac:dyDescent="0.25">
      <c r="Z208" s="345"/>
      <c r="AA208" s="345"/>
      <c r="AB208" s="345"/>
      <c r="AC208" s="777"/>
    </row>
    <row r="209" spans="26:29" x14ac:dyDescent="0.25">
      <c r="Z209" s="345"/>
      <c r="AA209" s="345"/>
      <c r="AB209" s="345"/>
      <c r="AC209" s="777"/>
    </row>
    <row r="210" spans="26:29" x14ac:dyDescent="0.25">
      <c r="Z210" s="345"/>
      <c r="AA210" s="345"/>
      <c r="AB210" s="345"/>
      <c r="AC210" s="777"/>
    </row>
    <row r="211" spans="26:29" x14ac:dyDescent="0.25">
      <c r="Z211" s="345"/>
      <c r="AA211" s="345"/>
      <c r="AB211" s="345"/>
      <c r="AC211" s="777"/>
    </row>
    <row r="212" spans="26:29" x14ac:dyDescent="0.25">
      <c r="Z212" s="345"/>
      <c r="AA212" s="345"/>
      <c r="AB212" s="345"/>
      <c r="AC212" s="777"/>
    </row>
    <row r="213" spans="26:29" x14ac:dyDescent="0.25">
      <c r="Z213" s="345"/>
      <c r="AA213" s="345"/>
      <c r="AB213" s="345"/>
      <c r="AC213" s="777"/>
    </row>
    <row r="214" spans="26:29" x14ac:dyDescent="0.25">
      <c r="Z214" s="345"/>
      <c r="AA214" s="345"/>
      <c r="AB214" s="345"/>
      <c r="AC214" s="777"/>
    </row>
    <row r="215" spans="26:29" x14ac:dyDescent="0.25">
      <c r="Z215" s="345"/>
      <c r="AA215" s="345"/>
      <c r="AB215" s="345"/>
      <c r="AC215" s="777"/>
    </row>
    <row r="216" spans="26:29" x14ac:dyDescent="0.25">
      <c r="Z216" s="345"/>
      <c r="AA216" s="345"/>
      <c r="AB216" s="345"/>
      <c r="AC216" s="777"/>
    </row>
    <row r="217" spans="26:29" x14ac:dyDescent="0.25">
      <c r="Z217" s="345"/>
      <c r="AA217" s="345"/>
      <c r="AB217" s="345"/>
      <c r="AC217" s="777"/>
    </row>
    <row r="218" spans="26:29" x14ac:dyDescent="0.25">
      <c r="Z218" s="345"/>
      <c r="AA218" s="345"/>
      <c r="AB218" s="345"/>
      <c r="AC218" s="777"/>
    </row>
    <row r="219" spans="26:29" x14ac:dyDescent="0.25">
      <c r="Z219" s="345"/>
      <c r="AA219" s="345"/>
      <c r="AB219" s="345"/>
      <c r="AC219" s="777"/>
    </row>
    <row r="220" spans="26:29" x14ac:dyDescent="0.25">
      <c r="Z220" s="345"/>
      <c r="AA220" s="345"/>
      <c r="AB220" s="345"/>
      <c r="AC220" s="777"/>
    </row>
    <row r="221" spans="26:29" x14ac:dyDescent="0.25">
      <c r="Z221" s="345"/>
      <c r="AA221" s="345"/>
      <c r="AB221" s="345"/>
      <c r="AC221" s="777"/>
    </row>
    <row r="222" spans="26:29" x14ac:dyDescent="0.25">
      <c r="Z222" s="345"/>
      <c r="AA222" s="345"/>
      <c r="AB222" s="345"/>
      <c r="AC222" s="777"/>
    </row>
    <row r="223" spans="26:29" x14ac:dyDescent="0.25">
      <c r="Z223" s="345"/>
      <c r="AA223" s="345"/>
      <c r="AB223" s="345"/>
      <c r="AC223" s="777"/>
    </row>
    <row r="224" spans="26:29" x14ac:dyDescent="0.25">
      <c r="Z224" s="345"/>
      <c r="AA224" s="345"/>
      <c r="AB224" s="345"/>
      <c r="AC224" s="777"/>
    </row>
    <row r="225" spans="26:29" x14ac:dyDescent="0.25">
      <c r="Z225" s="345"/>
      <c r="AA225" s="345"/>
      <c r="AB225" s="345"/>
      <c r="AC225" s="777"/>
    </row>
    <row r="226" spans="26:29" x14ac:dyDescent="0.25">
      <c r="Z226" s="345"/>
      <c r="AA226" s="345"/>
      <c r="AB226" s="345"/>
      <c r="AC226" s="777"/>
    </row>
    <row r="227" spans="26:29" x14ac:dyDescent="0.25">
      <c r="Z227" s="345"/>
      <c r="AA227" s="345"/>
      <c r="AB227" s="345"/>
      <c r="AC227" s="777"/>
    </row>
    <row r="228" spans="26:29" x14ac:dyDescent="0.25">
      <c r="Z228" s="345"/>
      <c r="AA228" s="345"/>
      <c r="AB228" s="345"/>
      <c r="AC228" s="777"/>
    </row>
    <row r="229" spans="26:29" x14ac:dyDescent="0.25">
      <c r="Z229" s="345"/>
      <c r="AA229" s="345"/>
      <c r="AB229" s="345"/>
      <c r="AC229" s="777"/>
    </row>
    <row r="230" spans="26:29" x14ac:dyDescent="0.25">
      <c r="Z230" s="345"/>
      <c r="AA230" s="345"/>
      <c r="AB230" s="345"/>
      <c r="AC230" s="777"/>
    </row>
    <row r="231" spans="26:29" x14ac:dyDescent="0.25">
      <c r="Z231" s="345"/>
      <c r="AA231" s="345"/>
      <c r="AB231" s="345"/>
      <c r="AC231" s="777"/>
    </row>
    <row r="232" spans="26:29" x14ac:dyDescent="0.25">
      <c r="Z232" s="345"/>
      <c r="AA232" s="345"/>
      <c r="AB232" s="345"/>
      <c r="AC232" s="777"/>
    </row>
    <row r="233" spans="26:29" x14ac:dyDescent="0.25">
      <c r="Z233" s="345"/>
      <c r="AA233" s="345"/>
      <c r="AB233" s="345"/>
      <c r="AC233" s="777"/>
    </row>
    <row r="234" spans="26:29" x14ac:dyDescent="0.25">
      <c r="Z234" s="345"/>
      <c r="AA234" s="345"/>
      <c r="AB234" s="345"/>
      <c r="AC234" s="777"/>
    </row>
    <row r="235" spans="26:29" x14ac:dyDescent="0.25">
      <c r="Z235" s="345"/>
      <c r="AA235" s="345"/>
      <c r="AB235" s="345"/>
      <c r="AC235" s="777"/>
    </row>
    <row r="236" spans="26:29" x14ac:dyDescent="0.25">
      <c r="Z236" s="345"/>
      <c r="AA236" s="345"/>
      <c r="AB236" s="345"/>
      <c r="AC236" s="777"/>
    </row>
    <row r="237" spans="26:29" x14ac:dyDescent="0.25">
      <c r="Z237" s="345"/>
      <c r="AA237" s="345"/>
      <c r="AB237" s="345"/>
      <c r="AC237" s="777"/>
    </row>
    <row r="238" spans="26:29" x14ac:dyDescent="0.25">
      <c r="Z238" s="345"/>
      <c r="AA238" s="345"/>
      <c r="AB238" s="345"/>
      <c r="AC238" s="777"/>
    </row>
    <row r="239" spans="26:29" x14ac:dyDescent="0.25">
      <c r="Z239" s="345"/>
      <c r="AA239" s="345"/>
      <c r="AB239" s="345"/>
      <c r="AC239" s="777"/>
    </row>
    <row r="240" spans="26:29" x14ac:dyDescent="0.25">
      <c r="Z240" s="345"/>
      <c r="AA240" s="345"/>
      <c r="AB240" s="345"/>
      <c r="AC240" s="777"/>
    </row>
    <row r="241" spans="26:29" x14ac:dyDescent="0.25">
      <c r="Z241" s="345"/>
      <c r="AA241" s="345"/>
      <c r="AB241" s="345"/>
      <c r="AC241" s="777"/>
    </row>
    <row r="242" spans="26:29" x14ac:dyDescent="0.25">
      <c r="Z242" s="345"/>
      <c r="AA242" s="345"/>
      <c r="AB242" s="345"/>
      <c r="AC242" s="777"/>
    </row>
    <row r="243" spans="26:29" x14ac:dyDescent="0.25">
      <c r="Z243" s="345"/>
      <c r="AA243" s="345"/>
      <c r="AB243" s="345"/>
      <c r="AC243" s="777"/>
    </row>
    <row r="244" spans="26:29" x14ac:dyDescent="0.25">
      <c r="Z244" s="345"/>
      <c r="AA244" s="345"/>
      <c r="AB244" s="345"/>
      <c r="AC244" s="777"/>
    </row>
    <row r="245" spans="26:29" x14ac:dyDescent="0.25">
      <c r="Z245" s="345"/>
      <c r="AA245" s="345"/>
      <c r="AB245" s="345"/>
      <c r="AC245" s="777"/>
    </row>
    <row r="246" spans="26:29" x14ac:dyDescent="0.25">
      <c r="Z246" s="345"/>
      <c r="AA246" s="345"/>
      <c r="AB246" s="345"/>
      <c r="AC246" s="777"/>
    </row>
    <row r="247" spans="26:29" x14ac:dyDescent="0.25">
      <c r="Z247" s="345"/>
      <c r="AA247" s="345"/>
      <c r="AB247" s="345"/>
      <c r="AC247" s="777"/>
    </row>
    <row r="248" spans="26:29" x14ac:dyDescent="0.25">
      <c r="Z248" s="345"/>
      <c r="AA248" s="345"/>
      <c r="AB248" s="345"/>
      <c r="AC248" s="777"/>
    </row>
    <row r="249" spans="26:29" x14ac:dyDescent="0.25">
      <c r="Z249" s="345"/>
      <c r="AA249" s="345"/>
      <c r="AB249" s="345"/>
      <c r="AC249" s="777"/>
    </row>
    <row r="250" spans="26:29" x14ac:dyDescent="0.25">
      <c r="Z250" s="345"/>
      <c r="AA250" s="345"/>
      <c r="AB250" s="345"/>
      <c r="AC250" s="777"/>
    </row>
    <row r="251" spans="26:29" x14ac:dyDescent="0.25">
      <c r="Z251" s="345"/>
      <c r="AA251" s="345"/>
      <c r="AB251" s="345"/>
      <c r="AC251" s="777"/>
    </row>
    <row r="252" spans="26:29" x14ac:dyDescent="0.25">
      <c r="Z252" s="345"/>
      <c r="AA252" s="345"/>
      <c r="AB252" s="345"/>
      <c r="AC252" s="777"/>
    </row>
    <row r="253" spans="26:29" x14ac:dyDescent="0.25">
      <c r="Z253" s="345"/>
      <c r="AA253" s="345"/>
      <c r="AB253" s="345"/>
      <c r="AC253" s="777"/>
    </row>
    <row r="254" spans="26:29" x14ac:dyDescent="0.25">
      <c r="Z254" s="345"/>
      <c r="AA254" s="345"/>
      <c r="AB254" s="345"/>
      <c r="AC254" s="777"/>
    </row>
    <row r="255" spans="26:29" x14ac:dyDescent="0.25">
      <c r="Z255" s="345"/>
      <c r="AA255" s="345"/>
      <c r="AB255" s="345"/>
      <c r="AC255" s="777"/>
    </row>
    <row r="256" spans="26:29" x14ac:dyDescent="0.25">
      <c r="Z256" s="345"/>
      <c r="AA256" s="345"/>
      <c r="AB256" s="345"/>
      <c r="AC256" s="777"/>
    </row>
    <row r="257" spans="26:29" x14ac:dyDescent="0.25">
      <c r="Z257" s="345"/>
      <c r="AA257" s="345"/>
      <c r="AB257" s="345"/>
      <c r="AC257" s="777"/>
    </row>
    <row r="258" spans="26:29" x14ac:dyDescent="0.25">
      <c r="Z258" s="345"/>
      <c r="AA258" s="345"/>
      <c r="AB258" s="345"/>
      <c r="AC258" s="777"/>
    </row>
    <row r="259" spans="26:29" x14ac:dyDescent="0.25">
      <c r="Z259" s="345"/>
      <c r="AA259" s="345"/>
      <c r="AB259" s="345"/>
      <c r="AC259" s="777"/>
    </row>
    <row r="260" spans="26:29" x14ac:dyDescent="0.25">
      <c r="Z260" s="345"/>
      <c r="AA260" s="345"/>
      <c r="AB260" s="345"/>
      <c r="AC260" s="777"/>
    </row>
    <row r="261" spans="26:29" x14ac:dyDescent="0.25">
      <c r="Z261" s="345"/>
      <c r="AA261" s="345"/>
      <c r="AB261" s="345"/>
      <c r="AC261" s="777"/>
    </row>
    <row r="262" spans="26:29" x14ac:dyDescent="0.25">
      <c r="Z262" s="345"/>
      <c r="AA262" s="345"/>
      <c r="AB262" s="345"/>
      <c r="AC262" s="777"/>
    </row>
    <row r="263" spans="26:29" x14ac:dyDescent="0.25">
      <c r="Z263" s="345"/>
      <c r="AA263" s="345"/>
      <c r="AB263" s="345"/>
      <c r="AC263" s="777"/>
    </row>
    <row r="264" spans="26:29" x14ac:dyDescent="0.25">
      <c r="Z264" s="345"/>
      <c r="AA264" s="345"/>
      <c r="AB264" s="345"/>
      <c r="AC264" s="777"/>
    </row>
    <row r="265" spans="26:29" x14ac:dyDescent="0.25">
      <c r="Z265" s="345"/>
      <c r="AA265" s="345"/>
      <c r="AB265" s="345"/>
      <c r="AC265" s="777"/>
    </row>
    <row r="266" spans="26:29" x14ac:dyDescent="0.25">
      <c r="Z266" s="345"/>
      <c r="AA266" s="345"/>
      <c r="AB266" s="345"/>
      <c r="AC266" s="777"/>
    </row>
    <row r="267" spans="26:29" x14ac:dyDescent="0.25">
      <c r="Z267" s="345"/>
      <c r="AA267" s="345"/>
      <c r="AB267" s="345"/>
      <c r="AC267" s="777"/>
    </row>
    <row r="268" spans="26:29" x14ac:dyDescent="0.25">
      <c r="Z268" s="345"/>
      <c r="AA268" s="345"/>
      <c r="AB268" s="345"/>
      <c r="AC268" s="777"/>
    </row>
  </sheetData>
  <sheetProtection algorithmName="SHA-512" hashValue="KMdq5IjouTG+cMzTyfksdXVGem1CSFLbEEDnEQdzYvWLkIQRuis/te/LnChj/iuL9a7FpsKpKDM9i6fOUBiPjw==" saltValue="VYICxIhrY+2ewWpWX63H8Q==" spinCount="100000" sheet="1" selectLockedCells="1"/>
  <mergeCells count="61">
    <mergeCell ref="A137:A142"/>
    <mergeCell ref="C121:D121"/>
    <mergeCell ref="AA60:AD60"/>
    <mergeCell ref="C60:C61"/>
    <mergeCell ref="D60:D61"/>
    <mergeCell ref="E60:E61"/>
    <mergeCell ref="I60:I61"/>
    <mergeCell ref="J60:J61"/>
    <mergeCell ref="K60:K61"/>
    <mergeCell ref="L60:L61"/>
    <mergeCell ref="M60:M61"/>
    <mergeCell ref="N60:N61"/>
    <mergeCell ref="S98:U98"/>
    <mergeCell ref="V98:X98"/>
    <mergeCell ref="Y98:AA98"/>
    <mergeCell ref="AB98:AD98"/>
    <mergeCell ref="R85:T85"/>
    <mergeCell ref="U85:W85"/>
    <mergeCell ref="X85:Z85"/>
    <mergeCell ref="S76:T76"/>
    <mergeCell ref="U76:V76"/>
    <mergeCell ref="W76:X76"/>
    <mergeCell ref="Y76:Z76"/>
    <mergeCell ref="U14:W14"/>
    <mergeCell ref="X14:Z14"/>
    <mergeCell ref="R14:T14"/>
    <mergeCell ref="O60:R60"/>
    <mergeCell ref="S60:V60"/>
    <mergeCell ref="W60:Z60"/>
    <mergeCell ref="A87:A97"/>
    <mergeCell ref="A84:E84"/>
    <mergeCell ref="A75:E75"/>
    <mergeCell ref="C85:D85"/>
    <mergeCell ref="A29:A37"/>
    <mergeCell ref="C76:D76"/>
    <mergeCell ref="O85:Q85"/>
    <mergeCell ref="O14:Q14"/>
    <mergeCell ref="D5:E5"/>
    <mergeCell ref="D7:E7"/>
    <mergeCell ref="D8:E8"/>
    <mergeCell ref="C14:D14"/>
    <mergeCell ref="H5:I5"/>
    <mergeCell ref="H6:I6"/>
    <mergeCell ref="D6:E6"/>
    <mergeCell ref="G13:N14"/>
    <mergeCell ref="H121:J121"/>
    <mergeCell ref="A123:A128"/>
    <mergeCell ref="A130:A135"/>
    <mergeCell ref="A144:A147"/>
    <mergeCell ref="H7:I7"/>
    <mergeCell ref="H8:I8"/>
    <mergeCell ref="H84:N85"/>
    <mergeCell ref="H75:N76"/>
    <mergeCell ref="A20:A27"/>
    <mergeCell ref="A16:A18"/>
    <mergeCell ref="A110:A118"/>
    <mergeCell ref="A78:A81"/>
    <mergeCell ref="A39:A48"/>
    <mergeCell ref="A50:A59"/>
    <mergeCell ref="A62:A72"/>
    <mergeCell ref="A100:A108"/>
  </mergeCells>
  <conditionalFormatting sqref="H78:H80">
    <cfRule type="expression" dxfId="250" priority="112">
      <formula>"---"</formula>
    </cfRule>
  </conditionalFormatting>
  <conditionalFormatting sqref="H109">
    <cfRule type="expression" dxfId="249" priority="110">
      <formula>"---"</formula>
    </cfRule>
  </conditionalFormatting>
  <conditionalFormatting sqref="H81">
    <cfRule type="expression" dxfId="248" priority="93">
      <formula>"---"</formula>
    </cfRule>
  </conditionalFormatting>
  <conditionalFormatting sqref="H113:H118">
    <cfRule type="expression" dxfId="247" priority="83">
      <formula>"---"</formula>
    </cfRule>
  </conditionalFormatting>
  <conditionalFormatting sqref="H87:H102">
    <cfRule type="expression" dxfId="246" priority="87">
      <formula>"---"</formula>
    </cfRule>
  </conditionalFormatting>
  <conditionalFormatting sqref="H110:H112">
    <cfRule type="expression" dxfId="245" priority="85">
      <formula>"---"</formula>
    </cfRule>
  </conditionalFormatting>
  <conditionalFormatting sqref="H103:H108">
    <cfRule type="expression" dxfId="244" priority="84">
      <formula>"---"</formula>
    </cfRule>
  </conditionalFormatting>
  <conditionalFormatting sqref="P34">
    <cfRule type="expression" dxfId="243" priority="81">
      <formula>"---"</formula>
    </cfRule>
  </conditionalFormatting>
  <conditionalFormatting sqref="P42">
    <cfRule type="expression" dxfId="242" priority="80">
      <formula>"---"</formula>
    </cfRule>
  </conditionalFormatting>
  <conditionalFormatting sqref="S76:Z81 O85:AA97 AB97:AE97 S98:AE118 O60:AD72 O14:AB59">
    <cfRule type="expression" dxfId="241" priority="193">
      <formula>IF($E$10="Yes", TRUE,FALSE)</formula>
    </cfRule>
  </conditionalFormatting>
  <conditionalFormatting sqref="AA99">
    <cfRule type="expression" dxfId="240" priority="78">
      <formula>IF($E$10="Yes", TRUE,FALSE)</formula>
    </cfRule>
  </conditionalFormatting>
  <conditionalFormatting sqref="AD99">
    <cfRule type="expression" dxfId="239" priority="77">
      <formula>IF($E$10="Yes", TRUE,FALSE)</formula>
    </cfRule>
  </conditionalFormatting>
  <conditionalFormatting sqref="U100:U108">
    <cfRule type="expression" dxfId="238" priority="76">
      <formula>IF($E$10="Yes", TRUE,FALSE)</formula>
    </cfRule>
  </conditionalFormatting>
  <conditionalFormatting sqref="AA100:AA108">
    <cfRule type="expression" dxfId="237" priority="75">
      <formula>IF($E$10="Yes", TRUE,FALSE)</formula>
    </cfRule>
  </conditionalFormatting>
  <conditionalFormatting sqref="U110:U118">
    <cfRule type="expression" dxfId="236" priority="74">
      <formula>IF($E$10="Yes", TRUE,FALSE)</formula>
    </cfRule>
  </conditionalFormatting>
  <conditionalFormatting sqref="AA110:AA118">
    <cfRule type="expression" dxfId="235" priority="73">
      <formula>IF($E$10="Yes", TRUE,FALSE)</formula>
    </cfRule>
  </conditionalFormatting>
  <conditionalFormatting sqref="P44">
    <cfRule type="expression" dxfId="234" priority="72">
      <formula>"---"</formula>
    </cfRule>
  </conditionalFormatting>
  <conditionalFormatting sqref="S61:AD61">
    <cfRule type="expression" dxfId="233" priority="71">
      <formula>IF($H$10="Yes", TRUE,FALSE)</formula>
    </cfRule>
  </conditionalFormatting>
  <conditionalFormatting sqref="Q61:R61">
    <cfRule type="expression" dxfId="232" priority="70">
      <formula>IF($H$10="Yes", TRUE,FALSE)</formula>
    </cfRule>
  </conditionalFormatting>
  <conditionalFormatting sqref="O61:P61">
    <cfRule type="expression" dxfId="231" priority="69">
      <formula>IF($H$10="Yes", TRUE,FALSE)</formula>
    </cfRule>
  </conditionalFormatting>
  <conditionalFormatting sqref="O60">
    <cfRule type="expression" dxfId="230" priority="68">
      <formula>IF($H$10="Yes", TRUE,FALSE)</formula>
    </cfRule>
  </conditionalFormatting>
  <conditionalFormatting sqref="S60">
    <cfRule type="expression" dxfId="229" priority="67">
      <formula>IF($H$10="Yes", TRUE,FALSE)</formula>
    </cfRule>
  </conditionalFormatting>
  <conditionalFormatting sqref="W60">
    <cfRule type="expression" dxfId="228" priority="66">
      <formula>IF($H$10="Yes", TRUE,FALSE)</formula>
    </cfRule>
  </conditionalFormatting>
  <conditionalFormatting sqref="AA60">
    <cfRule type="expression" dxfId="227" priority="65">
      <formula>IF($H$10="Yes", TRUE,FALSE)</formula>
    </cfRule>
  </conditionalFormatting>
  <conditionalFormatting sqref="S62:V70">
    <cfRule type="expression" dxfId="226" priority="64">
      <formula>IF($H$10="Yes", TRUE,FALSE)</formula>
    </cfRule>
  </conditionalFormatting>
  <conditionalFormatting sqref="W62:W70">
    <cfRule type="expression" dxfId="225" priority="59">
      <formula>IF($H$10="Yes", TRUE,FALSE)</formula>
    </cfRule>
  </conditionalFormatting>
  <conditionalFormatting sqref="X62:X70">
    <cfRule type="expression" dxfId="224" priority="58">
      <formula>IF($H$10="Yes", TRUE,FALSE)</formula>
    </cfRule>
  </conditionalFormatting>
  <conditionalFormatting sqref="Y62:Y70">
    <cfRule type="expression" dxfId="223" priority="57">
      <formula>IF($H$10="Yes", TRUE,FALSE)</formula>
    </cfRule>
  </conditionalFormatting>
  <conditionalFormatting sqref="Z62:Z70">
    <cfRule type="expression" dxfId="222" priority="56">
      <formula>IF($H$10="Yes", TRUE,FALSE)</formula>
    </cfRule>
  </conditionalFormatting>
  <conditionalFormatting sqref="W71:W72">
    <cfRule type="expression" dxfId="221" priority="55">
      <formula>IF($H$10="Yes", TRUE,FALSE)</formula>
    </cfRule>
  </conditionalFormatting>
  <conditionalFormatting sqref="X71:X72">
    <cfRule type="expression" dxfId="220" priority="54">
      <formula>IF($H$10="Yes", TRUE,FALSE)</formula>
    </cfRule>
  </conditionalFormatting>
  <conditionalFormatting sqref="Y71:Y72">
    <cfRule type="expression" dxfId="219" priority="53">
      <formula>IF($H$10="Yes", TRUE,FALSE)</formula>
    </cfRule>
  </conditionalFormatting>
  <conditionalFormatting sqref="Z71:Z72">
    <cfRule type="expression" dxfId="218" priority="52">
      <formula>IF($H$10="Yes", TRUE,FALSE)</formula>
    </cfRule>
  </conditionalFormatting>
  <conditionalFormatting sqref="AA62:AA69">
    <cfRule type="expression" dxfId="217" priority="47">
      <formula>IF($H$10="Yes", TRUE,FALSE)</formula>
    </cfRule>
  </conditionalFormatting>
  <conditionalFormatting sqref="AB62:AB69">
    <cfRule type="expression" dxfId="216" priority="46">
      <formula>IF($H$10="Yes", TRUE,FALSE)</formula>
    </cfRule>
  </conditionalFormatting>
  <conditionalFormatting sqref="AC62:AC69">
    <cfRule type="expression" dxfId="215" priority="45">
      <formula>IF($H$10="Yes", TRUE,FALSE)</formula>
    </cfRule>
  </conditionalFormatting>
  <conditionalFormatting sqref="AD62:AD69">
    <cfRule type="expression" dxfId="214" priority="44">
      <formula>IF($H$10="Yes", TRUE,FALSE)</formula>
    </cfRule>
  </conditionalFormatting>
  <conditionalFormatting sqref="AA70:AA72">
    <cfRule type="expression" dxfId="213" priority="39">
      <formula>IF($H$10="Yes", TRUE,FALSE)</formula>
    </cfRule>
  </conditionalFormatting>
  <conditionalFormatting sqref="AB70:AB72">
    <cfRule type="expression" dxfId="212" priority="38">
      <formula>IF($H$10="Yes", TRUE,FALSE)</formula>
    </cfRule>
  </conditionalFormatting>
  <conditionalFormatting sqref="AC70:AC72">
    <cfRule type="expression" dxfId="211" priority="37">
      <formula>IF($H$10="Yes", TRUE,FALSE)</formula>
    </cfRule>
  </conditionalFormatting>
  <conditionalFormatting sqref="AD70:AD72">
    <cfRule type="expression" dxfId="210" priority="36">
      <formula>IF($H$10="Yes", TRUE,FALSE)</formula>
    </cfRule>
  </conditionalFormatting>
  <conditionalFormatting sqref="H123:H125">
    <cfRule type="expression" dxfId="209" priority="20">
      <formula>"---"</formula>
    </cfRule>
  </conditionalFormatting>
  <conditionalFormatting sqref="H147">
    <cfRule type="expression" dxfId="208" priority="25">
      <formula>"---"</formula>
    </cfRule>
  </conditionalFormatting>
  <conditionalFormatting sqref="H144:H146">
    <cfRule type="expression" dxfId="207" priority="26">
      <formula>"---"</formula>
    </cfRule>
  </conditionalFormatting>
  <conditionalFormatting sqref="H142">
    <cfRule type="expression" dxfId="206" priority="12">
      <formula>"---"</formula>
    </cfRule>
  </conditionalFormatting>
  <conditionalFormatting sqref="H137:H139">
    <cfRule type="expression" dxfId="205" priority="14">
      <formula>"---"</formula>
    </cfRule>
  </conditionalFormatting>
  <conditionalFormatting sqref="H140:H141">
    <cfRule type="expression" dxfId="204" priority="13">
      <formula>"---"</formula>
    </cfRule>
  </conditionalFormatting>
  <conditionalFormatting sqref="H126:H127">
    <cfRule type="expression" dxfId="203" priority="19">
      <formula>"---"</formula>
    </cfRule>
  </conditionalFormatting>
  <conditionalFormatting sqref="H128">
    <cfRule type="expression" dxfId="202" priority="18">
      <formula>"---"</formula>
    </cfRule>
  </conditionalFormatting>
  <conditionalFormatting sqref="H133:H134">
    <cfRule type="expression" dxfId="201" priority="16">
      <formula>"---"</formula>
    </cfRule>
  </conditionalFormatting>
  <conditionalFormatting sqref="H130:H132">
    <cfRule type="expression" dxfId="200" priority="17">
      <formula>"---"</formula>
    </cfRule>
  </conditionalFormatting>
  <conditionalFormatting sqref="H135">
    <cfRule type="expression" dxfId="199" priority="15">
      <formula>"---"</formula>
    </cfRule>
  </conditionalFormatting>
  <conditionalFormatting sqref="G109">
    <cfRule type="expression" dxfId="198" priority="10">
      <formula>"---"</formula>
    </cfRule>
  </conditionalFormatting>
  <conditionalFormatting sqref="G98:G99">
    <cfRule type="expression" dxfId="197" priority="8">
      <formula>"---"</formula>
    </cfRule>
  </conditionalFormatting>
  <dataValidations count="2">
    <dataValidation type="list" allowBlank="1" showInputMessage="1" showErrorMessage="1" sqref="E10" xr:uid="{00000000-0002-0000-0000-000000000000}">
      <formula1>"Yes, No"</formula1>
    </dataValidation>
    <dataValidation type="list" allowBlank="1" showInputMessage="1" showErrorMessage="1" sqref="E11" xr:uid="{00000000-0002-0000-0000-000001000000}">
      <formula1>"m3/h, m3/s, L/s"</formula1>
    </dataValidation>
  </dataValidations>
  <pageMargins left="0.7" right="0.7" top="0.75" bottom="0.75" header="0.3" footer="0.3"/>
  <pageSetup orientation="portrait" copies="2" r:id="rId1"/>
  <ignoredErrors>
    <ignoredError sqref="U49:Z49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B265"/>
  <sheetViews>
    <sheetView showGridLines="0" topLeftCell="A25" zoomScale="85" zoomScaleNormal="85" workbookViewId="0">
      <selection activeCell="C10" sqref="C10"/>
    </sheetView>
  </sheetViews>
  <sheetFormatPr defaultColWidth="9.140625" defaultRowHeight="15" x14ac:dyDescent="0.25"/>
  <cols>
    <col min="1" max="1" width="11.7109375" style="2" customWidth="1"/>
    <col min="2" max="2" width="9.140625" style="2"/>
    <col min="3" max="4" width="10.85546875" style="2" customWidth="1"/>
    <col min="5" max="5" width="11.42578125" style="2" customWidth="1"/>
    <col min="6" max="6" width="11.7109375" style="2" hidden="1" customWidth="1"/>
    <col min="7" max="7" width="9.5703125" style="2" customWidth="1"/>
    <col min="8" max="8" width="7.85546875" style="2" bestFit="1" customWidth="1"/>
    <col min="9" max="9" width="9.5703125" style="2" customWidth="1"/>
    <col min="10" max="12" width="9.42578125" style="2" customWidth="1"/>
    <col min="13" max="13" width="10.28515625" style="2" customWidth="1"/>
    <col min="14" max="14" width="9.28515625" style="2" customWidth="1"/>
    <col min="15" max="23" width="9.140625" style="2"/>
    <col min="24" max="24" width="9.7109375" style="2" customWidth="1"/>
    <col min="25" max="16384" width="9.140625" style="2"/>
  </cols>
  <sheetData>
    <row r="1" spans="1:24" ht="18.75" x14ac:dyDescent="0.3">
      <c r="A1" s="946" t="s">
        <v>54</v>
      </c>
      <c r="B1" s="947"/>
      <c r="C1" s="154" t="s">
        <v>50</v>
      </c>
      <c r="D1" s="154"/>
    </row>
    <row r="2" spans="1:24" ht="18.75" x14ac:dyDescent="0.3">
      <c r="A2" s="947"/>
      <c r="B2" s="947"/>
      <c r="C2" s="154" t="s">
        <v>44</v>
      </c>
      <c r="D2" s="154"/>
    </row>
    <row r="4" spans="1:24" x14ac:dyDescent="0.25">
      <c r="C4" s="29" t="s">
        <v>10</v>
      </c>
      <c r="D4" s="29"/>
      <c r="E4" s="29"/>
      <c r="F4" s="29"/>
      <c r="G4" s="29"/>
      <c r="H4" s="29"/>
      <c r="I4" s="29"/>
      <c r="J4" s="29"/>
      <c r="K4" s="145"/>
      <c r="L4" s="145"/>
      <c r="M4" s="145"/>
      <c r="O4" s="1"/>
    </row>
    <row r="5" spans="1:24" x14ac:dyDescent="0.25">
      <c r="C5" s="23" t="s">
        <v>68</v>
      </c>
      <c r="D5" s="23"/>
      <c r="E5" s="23"/>
      <c r="F5" s="23"/>
      <c r="G5" s="23"/>
      <c r="H5" s="24"/>
      <c r="I5" s="23"/>
      <c r="J5" s="23"/>
      <c r="K5" s="23"/>
      <c r="L5" s="23"/>
      <c r="M5" s="23"/>
      <c r="N5" s="23"/>
      <c r="O5" s="23"/>
      <c r="P5" s="23"/>
    </row>
    <row r="6" spans="1:24" x14ac:dyDescent="0.25">
      <c r="D6" s="680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4" ht="15.75" thickBot="1" x14ac:dyDescent="0.3">
      <c r="C7" s="680"/>
      <c r="D7" s="680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4" ht="48.75" customHeight="1" thickBot="1" x14ac:dyDescent="0.3">
      <c r="C8" s="944" t="s">
        <v>28</v>
      </c>
      <c r="D8" s="945"/>
      <c r="E8" s="144" t="s">
        <v>38</v>
      </c>
      <c r="G8" s="948" t="s">
        <v>95</v>
      </c>
      <c r="H8" s="948"/>
      <c r="I8" s="948"/>
      <c r="J8" s="948"/>
      <c r="K8" s="948"/>
      <c r="L8" s="948"/>
      <c r="M8" s="948"/>
    </row>
    <row r="9" spans="1:24" ht="68.25" customHeight="1" thickBot="1" x14ac:dyDescent="0.35">
      <c r="A9" s="3" t="s">
        <v>7</v>
      </c>
      <c r="B9" s="3" t="s">
        <v>8</v>
      </c>
      <c r="C9" s="80" t="s">
        <v>33</v>
      </c>
      <c r="D9" s="81" t="s">
        <v>30</v>
      </c>
      <c r="E9" s="126" t="s">
        <v>39</v>
      </c>
      <c r="F9" s="67" t="s">
        <v>27</v>
      </c>
      <c r="G9" s="115" t="s">
        <v>26</v>
      </c>
      <c r="H9" s="127" t="s">
        <v>1</v>
      </c>
      <c r="I9" s="128" t="s">
        <v>0</v>
      </c>
      <c r="J9" s="128" t="s">
        <v>2</v>
      </c>
      <c r="K9" s="128" t="s">
        <v>5</v>
      </c>
      <c r="L9" s="128" t="s">
        <v>3</v>
      </c>
      <c r="M9" s="129" t="s">
        <v>6</v>
      </c>
      <c r="N9" s="949" t="s">
        <v>96</v>
      </c>
      <c r="O9" s="950"/>
      <c r="P9" s="950"/>
      <c r="Q9" s="950"/>
      <c r="R9" s="950"/>
      <c r="S9" s="950"/>
      <c r="T9" s="681"/>
      <c r="U9" s="681"/>
      <c r="V9" s="681"/>
      <c r="W9" s="681"/>
      <c r="X9" s="681"/>
    </row>
    <row r="10" spans="1:24" ht="15.75" customHeight="1" x14ac:dyDescent="0.25">
      <c r="A10" s="951">
        <v>240</v>
      </c>
      <c r="B10" s="17" t="s">
        <v>4</v>
      </c>
      <c r="C10" s="247">
        <v>25</v>
      </c>
      <c r="D10" s="247">
        <v>300</v>
      </c>
      <c r="E10" s="134">
        <f>IF(OR(C10="",D10="", D10&lt;0),"---",        IF(AND(D10&gt;=M10,D10&gt;=ABS(C10)*K10),D10,"---"))</f>
        <v>300</v>
      </c>
      <c r="F10" s="73" t="e">
        <f>IF(OR(#REF!="", E10=""),"",(E10-#REF!*J10)^H10*(I10+E10*L10))</f>
        <v>#REF!</v>
      </c>
      <c r="G10" s="132">
        <f>IF(E10="---","---", (E10-ABS(C10)*J10)^H10*(I10+E10*L10))</f>
        <v>569.21908216841939</v>
      </c>
      <c r="H10" s="110">
        <v>0.51149999999999995</v>
      </c>
      <c r="I10" s="16">
        <v>30.7774</v>
      </c>
      <c r="J10" s="16">
        <v>0</v>
      </c>
      <c r="K10" s="16">
        <v>0.2</v>
      </c>
      <c r="L10" s="16">
        <v>0</v>
      </c>
      <c r="M10" s="682">
        <v>10</v>
      </c>
      <c r="N10" s="949"/>
      <c r="O10" s="950"/>
      <c r="P10" s="950"/>
      <c r="Q10" s="950"/>
      <c r="R10" s="950"/>
      <c r="S10" s="950"/>
      <c r="T10" s="58"/>
    </row>
    <row r="11" spans="1:24" ht="15.75" customHeight="1" x14ac:dyDescent="0.25">
      <c r="A11" s="952"/>
      <c r="B11" s="54" t="s">
        <v>51</v>
      </c>
      <c r="C11" s="248">
        <v>25</v>
      </c>
      <c r="D11" s="248">
        <v>300</v>
      </c>
      <c r="E11" s="135">
        <f>IF(OR(C11="",D11="", D11&lt;0),"---",        IF(AND(D11&gt;=M11,D11&gt;=ABS(C11)*K11),D11,"---"))</f>
        <v>300</v>
      </c>
      <c r="F11" s="20" t="e">
        <f>IF(OR(#REF!="", E11=""),"",(E11-#REF!*J11)^H11*(I11+E11*L11))</f>
        <v>#REF!</v>
      </c>
      <c r="G11" s="138">
        <f>IF(E11="---","---", (E11-ABS(C11)*J11)^H11*(I11+E11*L11))</f>
        <v>129.80354050125624</v>
      </c>
      <c r="H11" s="683">
        <v>0.54149999999999998</v>
      </c>
      <c r="I11" s="56">
        <v>5.9146000000000001</v>
      </c>
      <c r="J11" s="56">
        <v>0</v>
      </c>
      <c r="K11" s="56">
        <v>0.5</v>
      </c>
      <c r="L11" s="56">
        <v>0</v>
      </c>
      <c r="M11" s="684">
        <v>25</v>
      </c>
      <c r="N11" s="58"/>
      <c r="O11" s="58"/>
      <c r="P11" s="58"/>
      <c r="Q11" s="58"/>
      <c r="R11" s="58"/>
      <c r="S11" s="58"/>
      <c r="T11" s="58"/>
    </row>
    <row r="12" spans="1:24" ht="15.75" customHeight="1" thickBot="1" x14ac:dyDescent="0.3">
      <c r="A12" s="953"/>
      <c r="B12" s="685" t="s">
        <v>52</v>
      </c>
      <c r="C12" s="249">
        <v>25</v>
      </c>
      <c r="D12" s="249">
        <v>300</v>
      </c>
      <c r="E12" s="136">
        <f>IF(OR(C12="",D12="", D12&lt;0),"---",        IF(AND(D12&gt;=M12,D12&gt;=ABS(C12)*K12),D12,"---"))</f>
        <v>300</v>
      </c>
      <c r="F12" s="686" t="e">
        <f>IF(OR(#REF!="", E12=""),"",(E12-#REF!*J12)^H12*(I12+E12*L12))</f>
        <v>#REF!</v>
      </c>
      <c r="G12" s="687">
        <f>IF(E12="---","---", (E12-ABS(C12)*J12)^H12*(I12+E12*L12))</f>
        <v>31.151266734090079</v>
      </c>
      <c r="H12" s="688">
        <v>0.61250000000000004</v>
      </c>
      <c r="I12" s="183">
        <v>1.0056</v>
      </c>
      <c r="J12" s="183">
        <v>-2.4E-2</v>
      </c>
      <c r="K12" s="183">
        <v>0.5</v>
      </c>
      <c r="L12" s="183">
        <v>-2.0000000000000001E-4</v>
      </c>
      <c r="M12" s="689">
        <v>25</v>
      </c>
      <c r="N12" s="58"/>
      <c r="O12" s="58"/>
      <c r="P12" s="58"/>
      <c r="Q12" s="58"/>
      <c r="R12" s="58"/>
      <c r="S12" s="58"/>
      <c r="T12" s="58"/>
    </row>
    <row r="13" spans="1:24" ht="15.75" customHeight="1" thickBot="1" x14ac:dyDescent="0.3">
      <c r="C13" s="18"/>
      <c r="D13" s="133"/>
      <c r="E13" s="135"/>
      <c r="F13" s="11"/>
      <c r="G13" s="690"/>
      <c r="H13" s="691"/>
      <c r="I13" s="14"/>
      <c r="J13" s="14"/>
      <c r="K13" s="14"/>
      <c r="L13" s="14"/>
      <c r="M13" s="692"/>
      <c r="N13" s="58"/>
      <c r="O13" s="58"/>
      <c r="P13" s="58"/>
      <c r="Q13" s="58"/>
      <c r="R13" s="58"/>
      <c r="S13" s="58"/>
      <c r="T13" s="58"/>
    </row>
    <row r="14" spans="1:24" ht="15.75" customHeight="1" x14ac:dyDescent="0.25">
      <c r="A14" s="951">
        <v>300</v>
      </c>
      <c r="B14" s="17" t="s">
        <v>4</v>
      </c>
      <c r="C14" s="247">
        <v>25</v>
      </c>
      <c r="D14" s="247">
        <v>9</v>
      </c>
      <c r="E14" s="134" t="str">
        <f>IF(OR(C14="",D14="", D14&lt;0),"---",        IF(AND(D14&gt;=M14,D14&gt;=ABS(C14)*K14),D14,"---"))</f>
        <v>---</v>
      </c>
      <c r="F14" s="73" t="e">
        <f>IF(OR(#REF!="", E14=""),"",(E14-#REF!*J14)^H14*(I14+E14*L14))</f>
        <v>#REF!</v>
      </c>
      <c r="G14" s="132" t="str">
        <f>IF(E14="---","---", (E14-ABS(C14)*J14)^H14*(I14+E14*L14))</f>
        <v>---</v>
      </c>
      <c r="H14" s="110">
        <v>0.501</v>
      </c>
      <c r="I14" s="16">
        <v>28.91</v>
      </c>
      <c r="J14" s="16">
        <v>0</v>
      </c>
      <c r="K14" s="16">
        <v>0.4</v>
      </c>
      <c r="L14" s="16">
        <v>0</v>
      </c>
      <c r="M14" s="41">
        <v>20</v>
      </c>
      <c r="N14" s="12" t="s">
        <v>48</v>
      </c>
      <c r="O14" s="12"/>
      <c r="P14" s="12"/>
      <c r="Q14" s="12"/>
      <c r="R14" s="12"/>
      <c r="S14" s="12"/>
      <c r="T14" s="58"/>
    </row>
    <row r="15" spans="1:24" ht="15" customHeight="1" x14ac:dyDescent="0.25">
      <c r="A15" s="952"/>
      <c r="B15" s="54">
        <v>102</v>
      </c>
      <c r="C15" s="248">
        <v>25</v>
      </c>
      <c r="D15" s="248">
        <v>100</v>
      </c>
      <c r="E15" s="135">
        <f t="shared" ref="E15:E21" si="0">IF(OR(C15="",D15="", D15&lt;0),"---",        IF(AND(D15&gt;=M15,D15&gt;=ABS(C15)*K15),D15,"---"))</f>
        <v>100</v>
      </c>
      <c r="F15" s="20" t="e">
        <f>IF(OR(#REF!="", E15=""),"",(E15-#REF!*J15)^H15*(I15+E15*L15))</f>
        <v>#REF!</v>
      </c>
      <c r="G15" s="137">
        <f t="shared" ref="G15:G21" si="1">IF(E15="---","---", (E15-ABS(C15)*J15)^H15*(I15+E15*L15))</f>
        <v>161.95105358267432</v>
      </c>
      <c r="H15" s="111">
        <v>0.59</v>
      </c>
      <c r="I15" s="57">
        <v>10.7</v>
      </c>
      <c r="J15" s="56">
        <v>0</v>
      </c>
      <c r="K15" s="56">
        <v>0.4</v>
      </c>
      <c r="L15" s="56">
        <v>0</v>
      </c>
      <c r="M15" s="37">
        <v>100</v>
      </c>
      <c r="N15" s="32"/>
      <c r="O15" s="58"/>
      <c r="P15" s="58"/>
      <c r="Q15" s="58"/>
      <c r="R15" s="58"/>
      <c r="S15" s="58"/>
      <c r="T15" s="58"/>
      <c r="U15" s="58"/>
    </row>
    <row r="16" spans="1:24" ht="15" customHeight="1" x14ac:dyDescent="0.25">
      <c r="A16" s="952"/>
      <c r="B16" s="6">
        <v>74</v>
      </c>
      <c r="C16" s="250">
        <v>25</v>
      </c>
      <c r="D16" s="251">
        <v>-10</v>
      </c>
      <c r="E16" s="135" t="str">
        <f t="shared" si="0"/>
        <v>---</v>
      </c>
      <c r="F16" s="20" t="e">
        <f>IF(OR(#REF!="", E16=""),"",(E16-#REF!*J16)^H16*(I16+E16*L16))</f>
        <v>#REF!</v>
      </c>
      <c r="G16" s="137" t="str">
        <f t="shared" si="1"/>
        <v>---</v>
      </c>
      <c r="H16" s="112">
        <v>0.50449999999999995</v>
      </c>
      <c r="I16" s="8">
        <v>7.0773192087114243</v>
      </c>
      <c r="J16" s="5">
        <v>0</v>
      </c>
      <c r="K16" s="5">
        <v>0.25</v>
      </c>
      <c r="L16" s="5">
        <v>0</v>
      </c>
      <c r="M16" s="37">
        <v>15</v>
      </c>
      <c r="N16" s="12" t="s">
        <v>35</v>
      </c>
      <c r="O16" s="12"/>
      <c r="P16" s="12"/>
      <c r="Q16" s="12"/>
      <c r="R16" s="12"/>
      <c r="S16" s="58"/>
      <c r="T16" s="58"/>
    </row>
    <row r="17" spans="1:21" ht="15" customHeight="1" x14ac:dyDescent="0.25">
      <c r="A17" s="952"/>
      <c r="B17" s="6">
        <v>47</v>
      </c>
      <c r="C17" s="250">
        <v>25</v>
      </c>
      <c r="D17" s="250">
        <v>100</v>
      </c>
      <c r="E17" s="135">
        <f t="shared" si="0"/>
        <v>100</v>
      </c>
      <c r="F17" s="20" t="e">
        <f>IF(OR(#REF!="", E17=""),"",(E17-#REF!*J17)^H17*(I17+E17*L17))</f>
        <v>#REF!</v>
      </c>
      <c r="G17" s="137">
        <f t="shared" si="1"/>
        <v>32.409359420275905</v>
      </c>
      <c r="H17" s="113">
        <v>0.5</v>
      </c>
      <c r="I17" s="8">
        <v>3.2409359420275905</v>
      </c>
      <c r="J17" s="5">
        <v>0</v>
      </c>
      <c r="K17" s="5">
        <v>0.1</v>
      </c>
      <c r="L17" s="5">
        <v>0</v>
      </c>
      <c r="M17" s="37">
        <v>10</v>
      </c>
    </row>
    <row r="18" spans="1:21" ht="15" customHeight="1" x14ac:dyDescent="0.25">
      <c r="A18" s="952"/>
      <c r="B18" s="6">
        <v>29</v>
      </c>
      <c r="C18" s="250">
        <v>25</v>
      </c>
      <c r="D18" s="250">
        <v>150</v>
      </c>
      <c r="E18" s="135">
        <f t="shared" si="0"/>
        <v>150</v>
      </c>
      <c r="F18" s="20" t="e">
        <f>IF(OR(#REF!="", E18=""),"",(E18-#REF!*J18)^H18*(I18+E18*L18))</f>
        <v>#REF!</v>
      </c>
      <c r="G18" s="137">
        <f t="shared" si="1"/>
        <v>14.724344452789552</v>
      </c>
      <c r="H18" s="113">
        <v>0.502</v>
      </c>
      <c r="I18" s="8">
        <v>1.1902499077349771</v>
      </c>
      <c r="J18" s="5">
        <v>0</v>
      </c>
      <c r="K18" s="5">
        <v>0.2</v>
      </c>
      <c r="L18" s="5">
        <v>0</v>
      </c>
      <c r="M18" s="37">
        <v>20</v>
      </c>
      <c r="O18" s="10"/>
    </row>
    <row r="19" spans="1:21" ht="15" customHeight="1" x14ac:dyDescent="0.25">
      <c r="A19" s="952"/>
      <c r="B19" s="6">
        <v>18</v>
      </c>
      <c r="C19" s="250">
        <v>25</v>
      </c>
      <c r="D19" s="250">
        <v>200</v>
      </c>
      <c r="E19" s="135">
        <f t="shared" si="0"/>
        <v>200</v>
      </c>
      <c r="F19" s="68" t="e">
        <f>IF(OR(#REF!="", E19=""),"",(E19-#REF!*J19)^H19*(I19+E19*L19))</f>
        <v>#REF!</v>
      </c>
      <c r="G19" s="147">
        <f t="shared" si="1"/>
        <v>6.4288037427266858</v>
      </c>
      <c r="H19" s="112">
        <v>0.499</v>
      </c>
      <c r="I19" s="5">
        <v>0.45700000000000002</v>
      </c>
      <c r="J19" s="5">
        <v>0</v>
      </c>
      <c r="K19" s="5">
        <v>0.25</v>
      </c>
      <c r="L19" s="5">
        <v>0</v>
      </c>
      <c r="M19" s="37">
        <v>25</v>
      </c>
    </row>
    <row r="20" spans="1:21" ht="15" customHeight="1" x14ac:dyDescent="0.25">
      <c r="A20" s="952"/>
      <c r="B20" s="6">
        <v>11</v>
      </c>
      <c r="C20" s="250">
        <v>25</v>
      </c>
      <c r="D20" s="250">
        <v>250</v>
      </c>
      <c r="E20" s="135">
        <f t="shared" si="0"/>
        <v>250</v>
      </c>
      <c r="F20" s="68" t="e">
        <f>IF(OR(#REF!="", E20=""),"",(E20-#REF!*J20)^H20*(I20+E20*L20))</f>
        <v>#REF!</v>
      </c>
      <c r="G20" s="147">
        <f t="shared" si="1"/>
        <v>2.9449270361419764</v>
      </c>
      <c r="H20" s="113">
        <v>0.48</v>
      </c>
      <c r="I20" s="4">
        <v>0.20799999999999999</v>
      </c>
      <c r="J20" s="5">
        <v>0</v>
      </c>
      <c r="K20" s="5">
        <v>0.25</v>
      </c>
      <c r="L20" s="5">
        <v>0</v>
      </c>
      <c r="M20" s="37">
        <v>25</v>
      </c>
    </row>
    <row r="21" spans="1:21" ht="15.75" customHeight="1" thickBot="1" x14ac:dyDescent="0.3">
      <c r="A21" s="953"/>
      <c r="B21" s="7">
        <v>7</v>
      </c>
      <c r="C21" s="252">
        <v>25</v>
      </c>
      <c r="D21" s="252">
        <v>250</v>
      </c>
      <c r="E21" s="136">
        <f t="shared" si="0"/>
        <v>250</v>
      </c>
      <c r="F21" s="21" t="e">
        <f>IF(OR(#REF!="", E21=""),"",(E21-#REF!*J21)^H21*(I21+E21*L21))</f>
        <v>#REF!</v>
      </c>
      <c r="G21" s="149">
        <f t="shared" si="1"/>
        <v>1.1352576800004481</v>
      </c>
      <c r="H21" s="114">
        <v>0.5</v>
      </c>
      <c r="I21" s="19">
        <v>7.1800000000000003E-2</v>
      </c>
      <c r="J21" s="19">
        <v>0</v>
      </c>
      <c r="K21" s="19">
        <v>0.11</v>
      </c>
      <c r="L21" s="19">
        <v>0</v>
      </c>
      <c r="M21" s="40">
        <v>25</v>
      </c>
    </row>
    <row r="22" spans="1:21" ht="15.75" thickBot="1" x14ac:dyDescent="0.3">
      <c r="C22" s="18"/>
      <c r="D22" s="133"/>
      <c r="E22" s="136"/>
      <c r="F22" s="11"/>
      <c r="G22" s="687"/>
      <c r="H22" s="691"/>
      <c r="I22" s="14"/>
      <c r="J22" s="14"/>
      <c r="K22" s="14"/>
      <c r="L22" s="14"/>
      <c r="M22" s="151"/>
    </row>
    <row r="23" spans="1:21" x14ac:dyDescent="0.25">
      <c r="A23" s="937">
        <v>340</v>
      </c>
      <c r="B23" s="146" t="s">
        <v>4</v>
      </c>
      <c r="C23" s="247">
        <v>25</v>
      </c>
      <c r="D23" s="247">
        <v>300</v>
      </c>
      <c r="E23" s="134">
        <f>IF(OR(C23="",D23="", D23&lt;0),"---",        IF(AND(C23&gt;0, D23&gt;=M23,D23&gt;=ABS(C23)*K23),D23,"---"))</f>
        <v>300</v>
      </c>
      <c r="F23" s="13" t="e">
        <f>IF(OR(#REF!="", E23=""),"",(E23-#REF!*J23)^H23*(I23+E23*L23))</f>
        <v>#REF!</v>
      </c>
      <c r="G23" s="132">
        <f t="shared" ref="G23:G31" si="2">IF(E23="---","---", (E23-ABS(C23)*J23)^H23*(I23+E23*L23))</f>
        <v>503.60013781560741</v>
      </c>
      <c r="H23" s="116">
        <v>0.501</v>
      </c>
      <c r="I23" s="100">
        <v>28.91</v>
      </c>
      <c r="J23" s="100">
        <v>0</v>
      </c>
      <c r="K23" s="100">
        <v>0.4</v>
      </c>
      <c r="L23" s="100">
        <v>0</v>
      </c>
      <c r="M23" s="102">
        <v>20</v>
      </c>
      <c r="N23" s="23" t="s">
        <v>36</v>
      </c>
      <c r="O23" s="23"/>
      <c r="P23" s="23"/>
      <c r="Q23" s="23"/>
      <c r="R23" s="23"/>
      <c r="S23" s="23"/>
      <c r="T23" s="23"/>
      <c r="U23" s="23"/>
    </row>
    <row r="24" spans="1:21" ht="15" customHeight="1" x14ac:dyDescent="0.25">
      <c r="A24" s="938"/>
      <c r="B24" s="45" t="s">
        <v>4</v>
      </c>
      <c r="C24" s="250">
        <v>-25</v>
      </c>
      <c r="D24" s="250">
        <v>300</v>
      </c>
      <c r="E24" s="135">
        <f>IF(OR(C24="",D24="", D24&lt;0),"---",        IF(AND(C24&lt;0, D24&gt;=M24,D24&gt;=ABS(C24)*K24),D24,"---"))</f>
        <v>300</v>
      </c>
      <c r="F24" s="15" t="e">
        <f>IF(OR(#REF!="", E24=""),"",(E24-#REF!*J24)^H24*(I24+E24*L24))</f>
        <v>#REF!</v>
      </c>
      <c r="G24" s="137">
        <f t="shared" si="2"/>
        <v>518.70814195007563</v>
      </c>
      <c r="H24" s="117">
        <v>0.501</v>
      </c>
      <c r="I24" s="106">
        <v>29.7773</v>
      </c>
      <c r="J24" s="103">
        <v>0</v>
      </c>
      <c r="K24" s="103">
        <v>0.4</v>
      </c>
      <c r="L24" s="104">
        <v>0</v>
      </c>
      <c r="M24" s="107">
        <v>20</v>
      </c>
      <c r="N24" s="23" t="s">
        <v>37</v>
      </c>
      <c r="O24" s="23"/>
      <c r="P24" s="23"/>
      <c r="Q24" s="30"/>
      <c r="R24" s="30"/>
      <c r="S24" s="30"/>
      <c r="T24" s="30"/>
      <c r="U24" s="30"/>
    </row>
    <row r="25" spans="1:21" ht="15" customHeight="1" x14ac:dyDescent="0.25">
      <c r="A25" s="938"/>
      <c r="B25" s="54">
        <v>102</v>
      </c>
      <c r="C25" s="248">
        <v>25</v>
      </c>
      <c r="D25" s="248">
        <v>300</v>
      </c>
      <c r="E25" s="135">
        <f t="shared" ref="E25:E31" si="3">IF(OR(C25="",D25="", D25&lt;0),"---",        IF(AND(D25&gt;=M25,D25&gt;=ABS(C25)*K25),D25,"---"))</f>
        <v>300</v>
      </c>
      <c r="F25" s="20" t="e">
        <f>IF(OR(#REF!="", E25=""),"",(E25-#REF!*J25)^H25*(I25+E25*L25))</f>
        <v>#REF!</v>
      </c>
      <c r="G25" s="137">
        <f t="shared" si="2"/>
        <v>309.66014867595442</v>
      </c>
      <c r="H25" s="111">
        <v>0.59</v>
      </c>
      <c r="I25" s="57">
        <v>10.7</v>
      </c>
      <c r="J25" s="56">
        <v>0</v>
      </c>
      <c r="K25" s="56">
        <v>0.4</v>
      </c>
      <c r="L25" s="56">
        <v>0</v>
      </c>
      <c r="M25" s="37">
        <v>100</v>
      </c>
      <c r="O25" s="30"/>
      <c r="P25" s="30"/>
      <c r="Q25" s="30"/>
      <c r="R25" s="30"/>
    </row>
    <row r="26" spans="1:21" ht="15" customHeight="1" x14ac:dyDescent="0.25">
      <c r="A26" s="938"/>
      <c r="B26" s="6">
        <v>74</v>
      </c>
      <c r="C26" s="250">
        <v>25</v>
      </c>
      <c r="D26" s="250">
        <v>300</v>
      </c>
      <c r="E26" s="135">
        <f t="shared" si="3"/>
        <v>300</v>
      </c>
      <c r="F26" s="15" t="e">
        <f>IF(OR(#REF!="", E26=""),"",(E26-#REF!*J26)^H26*(I26+E26*L26))</f>
        <v>#REF!</v>
      </c>
      <c r="G26" s="137">
        <f t="shared" si="2"/>
        <v>125.76982512573395</v>
      </c>
      <c r="H26" s="112">
        <v>0.50449999999999995</v>
      </c>
      <c r="I26" s="8">
        <v>7.0773192087114243</v>
      </c>
      <c r="J26" s="5">
        <v>0</v>
      </c>
      <c r="K26" s="5">
        <v>0.25</v>
      </c>
      <c r="L26" s="36">
        <v>0</v>
      </c>
      <c r="M26" s="37">
        <v>15</v>
      </c>
    </row>
    <row r="27" spans="1:21" ht="15" customHeight="1" x14ac:dyDescent="0.25">
      <c r="A27" s="938"/>
      <c r="B27" s="46">
        <v>47</v>
      </c>
      <c r="C27" s="250">
        <v>25</v>
      </c>
      <c r="D27" s="250">
        <v>15</v>
      </c>
      <c r="E27" s="135">
        <f t="shared" si="3"/>
        <v>15</v>
      </c>
      <c r="F27" s="15" t="e">
        <f>IF(OR(#REF!="", E27=""),"",(E27-#REF!*J27)^H27*(I27+E27*L27))</f>
        <v>#REF!</v>
      </c>
      <c r="G27" s="137">
        <f t="shared" si="2"/>
        <v>12.552090929597904</v>
      </c>
      <c r="H27" s="113">
        <v>0.5</v>
      </c>
      <c r="I27" s="8">
        <v>3.2409359420275905</v>
      </c>
      <c r="J27" s="5">
        <v>0</v>
      </c>
      <c r="K27" s="5">
        <v>0.1</v>
      </c>
      <c r="L27" s="36">
        <v>0</v>
      </c>
      <c r="M27" s="37">
        <v>10</v>
      </c>
    </row>
    <row r="28" spans="1:21" ht="15" customHeight="1" x14ac:dyDescent="0.25">
      <c r="A28" s="938"/>
      <c r="B28" s="6">
        <v>29</v>
      </c>
      <c r="C28" s="250">
        <v>25</v>
      </c>
      <c r="D28" s="250">
        <v>25</v>
      </c>
      <c r="E28" s="135">
        <f t="shared" si="3"/>
        <v>25</v>
      </c>
      <c r="F28" s="20" t="e">
        <f>IF(OR(#REF!="", E28=""),"",(E28-#REF!*J28)^H28*(I28+E28*L28))</f>
        <v>#REF!</v>
      </c>
      <c r="G28" s="147">
        <f t="shared" si="2"/>
        <v>5.9896857939955401</v>
      </c>
      <c r="H28" s="113">
        <v>0.502</v>
      </c>
      <c r="I28" s="8">
        <v>1.1902499077349771</v>
      </c>
      <c r="J28" s="5">
        <v>0</v>
      </c>
      <c r="K28" s="5">
        <v>0.2</v>
      </c>
      <c r="L28" s="36">
        <v>0</v>
      </c>
      <c r="M28" s="37">
        <v>20</v>
      </c>
    </row>
    <row r="29" spans="1:21" ht="15" customHeight="1" x14ac:dyDescent="0.25">
      <c r="A29" s="938"/>
      <c r="B29" s="6">
        <v>18</v>
      </c>
      <c r="C29" s="250">
        <v>25</v>
      </c>
      <c r="D29" s="250">
        <v>35</v>
      </c>
      <c r="E29" s="135">
        <f t="shared" si="3"/>
        <v>35</v>
      </c>
      <c r="F29" s="20" t="e">
        <f>IF(OR(#REF!="", E29=""),"",(E29-#REF!*J29)^H29*(I29+E29*L29))</f>
        <v>#REF!</v>
      </c>
      <c r="G29" s="147">
        <f t="shared" si="2"/>
        <v>2.6940531170632043</v>
      </c>
      <c r="H29" s="112">
        <v>0.499</v>
      </c>
      <c r="I29" s="5">
        <v>0.45700000000000002</v>
      </c>
      <c r="J29" s="5">
        <v>0</v>
      </c>
      <c r="K29" s="5">
        <v>0.25</v>
      </c>
      <c r="L29" s="36">
        <v>0</v>
      </c>
      <c r="M29" s="37">
        <v>25</v>
      </c>
      <c r="N29" s="1"/>
    </row>
    <row r="30" spans="1:21" ht="15" customHeight="1" x14ac:dyDescent="0.25">
      <c r="A30" s="938"/>
      <c r="B30" s="6">
        <v>11</v>
      </c>
      <c r="C30" s="250">
        <v>25</v>
      </c>
      <c r="D30" s="250">
        <v>300</v>
      </c>
      <c r="E30" s="135">
        <f t="shared" si="3"/>
        <v>300</v>
      </c>
      <c r="F30" s="20" t="e">
        <f>IF(OR(#REF!="", E30=""),"",(E30-#REF!*J30)^H30*(I30+E30*L30))</f>
        <v>#REF!</v>
      </c>
      <c r="G30" s="147">
        <f t="shared" si="2"/>
        <v>3.2142639484993598</v>
      </c>
      <c r="H30" s="113">
        <v>0.48</v>
      </c>
      <c r="I30" s="4">
        <v>0.20799999999999999</v>
      </c>
      <c r="J30" s="5">
        <v>0</v>
      </c>
      <c r="K30" s="5">
        <v>0.25</v>
      </c>
      <c r="L30" s="36">
        <v>0</v>
      </c>
      <c r="M30" s="37">
        <v>25</v>
      </c>
    </row>
    <row r="31" spans="1:21" ht="15.75" thickBot="1" x14ac:dyDescent="0.3">
      <c r="A31" s="939"/>
      <c r="B31" s="7">
        <v>7</v>
      </c>
      <c r="C31" s="252">
        <v>25</v>
      </c>
      <c r="D31" s="252">
        <v>250</v>
      </c>
      <c r="E31" s="136">
        <f t="shared" si="3"/>
        <v>250</v>
      </c>
      <c r="F31" s="21" t="e">
        <f>IF(OR(#REF!="", E31=""),"",(E31-#REF!*J31)^H31*(I31+E31*L31))</f>
        <v>#REF!</v>
      </c>
      <c r="G31" s="149">
        <f t="shared" si="2"/>
        <v>1.1352576800004481</v>
      </c>
      <c r="H31" s="114">
        <v>0.5</v>
      </c>
      <c r="I31" s="19">
        <v>7.1800000000000003E-2</v>
      </c>
      <c r="J31" s="19">
        <v>0</v>
      </c>
      <c r="K31" s="19">
        <v>0.11</v>
      </c>
      <c r="L31" s="39">
        <v>0</v>
      </c>
      <c r="M31" s="40">
        <v>25</v>
      </c>
    </row>
    <row r="32" spans="1:21" ht="15.75" thickBot="1" x14ac:dyDescent="0.3">
      <c r="C32" s="18"/>
      <c r="D32" s="133"/>
      <c r="E32" s="136"/>
      <c r="F32" s="11"/>
      <c r="G32" s="687"/>
      <c r="H32" s="691"/>
      <c r="I32" s="14"/>
      <c r="J32" s="14"/>
      <c r="K32" s="14"/>
      <c r="L32" s="14"/>
      <c r="M32" s="151"/>
    </row>
    <row r="33" spans="1:21" ht="15" customHeight="1" x14ac:dyDescent="0.25">
      <c r="A33" s="937">
        <v>350</v>
      </c>
      <c r="B33" s="51">
        <v>102</v>
      </c>
      <c r="C33" s="247">
        <v>25</v>
      </c>
      <c r="D33" s="247">
        <v>300</v>
      </c>
      <c r="E33" s="134">
        <f t="shared" ref="E33:E42" si="4">IF(OR(C33="",D33="", D33&lt;0),"---",        IF(AND(D33&gt;=M33,D33&gt;=ABS(C33)*K33),D33,"---"))</f>
        <v>300</v>
      </c>
      <c r="F33" s="13" t="e">
        <f>IF(OR(#REF!="", E33=""),"",(E33-#REF!*J33)^H33*(I33+E33*L33))</f>
        <v>#REF!</v>
      </c>
      <c r="G33" s="138">
        <f t="shared" ref="G33:G42" si="5">IF(E33="---","---", (E33-ABS(C33)*J33)^H33*(I33+E33*L33))</f>
        <v>309.66014867595442</v>
      </c>
      <c r="H33" s="124">
        <v>0.59</v>
      </c>
      <c r="I33" s="16">
        <v>10.7</v>
      </c>
      <c r="J33" s="16">
        <v>0</v>
      </c>
      <c r="K33" s="16">
        <v>0.4</v>
      </c>
      <c r="L33" s="16">
        <v>0</v>
      </c>
      <c r="M33" s="35">
        <v>100</v>
      </c>
    </row>
    <row r="34" spans="1:21" ht="15" customHeight="1" x14ac:dyDescent="0.25">
      <c r="A34" s="938"/>
      <c r="B34" s="6">
        <v>74</v>
      </c>
      <c r="C34" s="250">
        <v>25</v>
      </c>
      <c r="D34" s="250">
        <v>300</v>
      </c>
      <c r="E34" s="135">
        <f t="shared" si="4"/>
        <v>300</v>
      </c>
      <c r="F34" s="15" t="e">
        <f>IF(OR(#REF!="", E34=""),"",(E34-#REF!*J34)^H34*(I34+E34*L34))</f>
        <v>#REF!</v>
      </c>
      <c r="G34" s="137">
        <f t="shared" si="5"/>
        <v>125.76982512573395</v>
      </c>
      <c r="H34" s="112">
        <v>0.50449999999999995</v>
      </c>
      <c r="I34" s="8">
        <v>7.0773192087114243</v>
      </c>
      <c r="J34" s="5">
        <v>0</v>
      </c>
      <c r="K34" s="5">
        <v>0.25</v>
      </c>
      <c r="L34" s="36">
        <v>0</v>
      </c>
      <c r="M34" s="37">
        <v>15</v>
      </c>
    </row>
    <row r="35" spans="1:21" ht="15" customHeight="1" x14ac:dyDescent="0.25">
      <c r="A35" s="938"/>
      <c r="B35" s="46">
        <v>47</v>
      </c>
      <c r="C35" s="250">
        <v>25</v>
      </c>
      <c r="D35" s="250">
        <v>300</v>
      </c>
      <c r="E35" s="135">
        <f t="shared" si="4"/>
        <v>300</v>
      </c>
      <c r="F35" s="15" t="e">
        <f>IF(OR(#REF!="", E35=""),"",(E35-#REF!*J35)^H35*(I35+E35*L35))</f>
        <v>#REF!</v>
      </c>
      <c r="G35" s="137">
        <f t="shared" si="5"/>
        <v>56.134657156678891</v>
      </c>
      <c r="H35" s="113">
        <v>0.5</v>
      </c>
      <c r="I35" s="8">
        <v>3.2409359420275905</v>
      </c>
      <c r="J35" s="5">
        <v>0</v>
      </c>
      <c r="K35" s="5">
        <v>0.1</v>
      </c>
      <c r="L35" s="36">
        <v>0</v>
      </c>
      <c r="M35" s="37">
        <v>10</v>
      </c>
    </row>
    <row r="36" spans="1:21" ht="15" customHeight="1" x14ac:dyDescent="0.25">
      <c r="A36" s="938"/>
      <c r="B36" s="6">
        <v>29</v>
      </c>
      <c r="C36" s="250">
        <v>25</v>
      </c>
      <c r="D36" s="250">
        <v>300</v>
      </c>
      <c r="E36" s="135">
        <f t="shared" si="4"/>
        <v>300</v>
      </c>
      <c r="F36" s="15" t="e">
        <f>IF(OR(#REF!="", E36=""),"",(E36-#REF!*J36)^H36*(I36+E36*L36))</f>
        <v>#REF!</v>
      </c>
      <c r="G36" s="137">
        <f t="shared" si="5"/>
        <v>20.852254957851137</v>
      </c>
      <c r="H36" s="113">
        <v>0.502</v>
      </c>
      <c r="I36" s="8">
        <v>1.1902499077349771</v>
      </c>
      <c r="J36" s="5">
        <v>0</v>
      </c>
      <c r="K36" s="5">
        <v>0.2</v>
      </c>
      <c r="L36" s="36">
        <v>0</v>
      </c>
      <c r="M36" s="37">
        <v>20</v>
      </c>
      <c r="O36" s="30"/>
      <c r="P36" s="30"/>
      <c r="Q36" s="30"/>
      <c r="R36" s="30"/>
    </row>
    <row r="37" spans="1:21" ht="15.75" customHeight="1" x14ac:dyDescent="0.25">
      <c r="A37" s="938"/>
      <c r="B37" s="6">
        <v>18</v>
      </c>
      <c r="C37" s="250">
        <v>25</v>
      </c>
      <c r="D37" s="250">
        <v>300</v>
      </c>
      <c r="E37" s="135">
        <f t="shared" si="4"/>
        <v>300</v>
      </c>
      <c r="F37" s="20" t="e">
        <f>IF(OR(#REF!="", E37=""),"",(E37-#REF!*J37)^H37*(I37+E37*L37))</f>
        <v>#REF!</v>
      </c>
      <c r="G37" s="147">
        <f t="shared" si="5"/>
        <v>7.8704525721382002</v>
      </c>
      <c r="H37" s="112">
        <v>0.499</v>
      </c>
      <c r="I37" s="5">
        <v>0.45700000000000002</v>
      </c>
      <c r="J37" s="5">
        <v>0</v>
      </c>
      <c r="K37" s="5">
        <v>0.25</v>
      </c>
      <c r="L37" s="36">
        <v>0</v>
      </c>
      <c r="M37" s="37">
        <v>25</v>
      </c>
      <c r="O37" s="30"/>
      <c r="P37" s="30"/>
      <c r="Q37" s="30"/>
      <c r="R37" s="30"/>
    </row>
    <row r="38" spans="1:21" ht="15" customHeight="1" x14ac:dyDescent="0.25">
      <c r="A38" s="938"/>
      <c r="B38" s="47">
        <v>11</v>
      </c>
      <c r="C38" s="250">
        <v>25</v>
      </c>
      <c r="D38" s="250">
        <v>300</v>
      </c>
      <c r="E38" s="135">
        <f t="shared" si="4"/>
        <v>300</v>
      </c>
      <c r="F38" s="20" t="e">
        <f>IF(OR(#REF!="", E38=""),"",(E38-#REF!*J38)^H38*(I38+E38*L38))</f>
        <v>#REF!</v>
      </c>
      <c r="G38" s="147">
        <f t="shared" si="5"/>
        <v>3.2142639484993598</v>
      </c>
      <c r="H38" s="113">
        <v>0.48</v>
      </c>
      <c r="I38" s="4">
        <v>0.20799999999999999</v>
      </c>
      <c r="J38" s="5">
        <v>0</v>
      </c>
      <c r="K38" s="5">
        <v>0.25</v>
      </c>
      <c r="L38" s="36">
        <v>0</v>
      </c>
      <c r="M38" s="37">
        <v>25</v>
      </c>
      <c r="O38" s="30"/>
      <c r="P38" s="30"/>
      <c r="Q38" s="30"/>
      <c r="R38" s="30"/>
    </row>
    <row r="39" spans="1:21" ht="15" customHeight="1" x14ac:dyDescent="0.25">
      <c r="A39" s="938"/>
      <c r="B39" s="6">
        <v>7</v>
      </c>
      <c r="C39" s="250">
        <v>25</v>
      </c>
      <c r="D39" s="250">
        <v>250</v>
      </c>
      <c r="E39" s="135">
        <f t="shared" si="4"/>
        <v>250</v>
      </c>
      <c r="F39" s="68" t="e">
        <f>IF(OR(#REF!="", E39=""),"",(E39-#REF!*J39)^H39*(I39+E39*L39))</f>
        <v>#REF!</v>
      </c>
      <c r="G39" s="147">
        <f t="shared" si="5"/>
        <v>1.1352576800004481</v>
      </c>
      <c r="H39" s="113">
        <v>0.5</v>
      </c>
      <c r="I39" s="5">
        <v>7.1800000000000003E-2</v>
      </c>
      <c r="J39" s="5">
        <v>0</v>
      </c>
      <c r="K39" s="5">
        <v>0.11</v>
      </c>
      <c r="L39" s="36">
        <v>0</v>
      </c>
      <c r="M39" s="37">
        <v>25</v>
      </c>
      <c r="O39" s="30"/>
      <c r="P39" s="30"/>
      <c r="Q39" s="30"/>
      <c r="R39" s="30"/>
    </row>
    <row r="40" spans="1:21" ht="15" customHeight="1" x14ac:dyDescent="0.25">
      <c r="A40" s="938"/>
      <c r="B40" s="6">
        <v>3</v>
      </c>
      <c r="C40" s="250">
        <v>25</v>
      </c>
      <c r="D40" s="250">
        <v>250</v>
      </c>
      <c r="E40" s="135">
        <f t="shared" si="4"/>
        <v>250</v>
      </c>
      <c r="F40" s="68" t="e">
        <f>IF(OR(#REF!="", E40=""),"",(E40-#REF!*J40)^H40*(I40+E40*L40))</f>
        <v>#REF!</v>
      </c>
      <c r="G40" s="147">
        <f t="shared" si="5"/>
        <v>0.31437981594729414</v>
      </c>
      <c r="H40" s="112">
        <v>0.48499999999999999</v>
      </c>
      <c r="I40" s="42">
        <v>2.1600000000000001E-2</v>
      </c>
      <c r="J40" s="5">
        <v>0</v>
      </c>
      <c r="K40" s="5">
        <v>0.3</v>
      </c>
      <c r="L40" s="36">
        <v>0</v>
      </c>
      <c r="M40" s="37">
        <v>25</v>
      </c>
      <c r="O40" s="30"/>
      <c r="P40" s="30"/>
      <c r="Q40" s="30"/>
      <c r="R40" s="30"/>
    </row>
    <row r="41" spans="1:21" ht="15" customHeight="1" x14ac:dyDescent="0.25">
      <c r="A41" s="938"/>
      <c r="B41" s="6">
        <v>2</v>
      </c>
      <c r="C41" s="250">
        <v>25</v>
      </c>
      <c r="D41" s="250">
        <v>250</v>
      </c>
      <c r="E41" s="135">
        <f t="shared" si="4"/>
        <v>250</v>
      </c>
      <c r="F41" s="68" t="e">
        <f>IF(OR(#REF!="", E41=""),"",(E41-#REF!*J41)^H41*(I41+E41*L41))</f>
        <v>#REF!</v>
      </c>
      <c r="G41" s="147">
        <f t="shared" si="5"/>
        <v>0.12128904072698021</v>
      </c>
      <c r="H41" s="113">
        <v>0.53</v>
      </c>
      <c r="I41" s="42">
        <v>6.4999999999999997E-3</v>
      </c>
      <c r="J41" s="5">
        <v>0</v>
      </c>
      <c r="K41" s="5">
        <v>0.3</v>
      </c>
      <c r="L41" s="36">
        <v>0</v>
      </c>
      <c r="M41" s="37">
        <v>25</v>
      </c>
      <c r="O41" s="30"/>
      <c r="P41" s="31"/>
      <c r="Q41" s="30"/>
      <c r="R41" s="30"/>
    </row>
    <row r="42" spans="1:21" ht="15" customHeight="1" thickBot="1" x14ac:dyDescent="0.3">
      <c r="A42" s="939"/>
      <c r="B42" s="7">
        <v>1</v>
      </c>
      <c r="C42" s="252">
        <v>10</v>
      </c>
      <c r="D42" s="252">
        <v>10</v>
      </c>
      <c r="E42" s="136" t="str">
        <f t="shared" si="4"/>
        <v>---</v>
      </c>
      <c r="F42" s="21" t="e">
        <f>IF(OR(#REF!="", E42=""),"",(E42-#REF!*J42)^H42*(I42+E42*L42))</f>
        <v>#REF!</v>
      </c>
      <c r="G42" s="148" t="str">
        <f t="shared" si="5"/>
        <v>---</v>
      </c>
      <c r="H42" s="114">
        <v>0.59279999999999999</v>
      </c>
      <c r="I42" s="53">
        <v>2.0436386114547761E-3</v>
      </c>
      <c r="J42" s="19">
        <v>0</v>
      </c>
      <c r="K42" s="19">
        <v>0.3</v>
      </c>
      <c r="L42" s="39">
        <v>0</v>
      </c>
      <c r="M42" s="40">
        <v>40</v>
      </c>
      <c r="O42" s="30"/>
      <c r="P42" s="30"/>
      <c r="Q42" s="30"/>
      <c r="R42" s="30"/>
      <c r="S42" s="30"/>
      <c r="T42" s="30"/>
    </row>
    <row r="43" spans="1:21" ht="15" customHeight="1" thickBot="1" x14ac:dyDescent="0.3">
      <c r="A43" s="33"/>
      <c r="C43" s="77"/>
      <c r="D43" s="79"/>
      <c r="E43" s="131"/>
      <c r="G43" s="693"/>
      <c r="H43" s="79"/>
      <c r="I43" s="79"/>
      <c r="J43" s="79"/>
      <c r="K43" s="79"/>
      <c r="L43" s="78"/>
      <c r="M43" s="78"/>
      <c r="O43" s="30"/>
      <c r="P43" s="30"/>
      <c r="Q43" s="30"/>
      <c r="R43" s="30"/>
      <c r="S43" s="30"/>
      <c r="T43" s="30"/>
    </row>
    <row r="44" spans="1:21" ht="15.75" customHeight="1" x14ac:dyDescent="0.25">
      <c r="A44" s="937">
        <v>450</v>
      </c>
      <c r="B44" s="146">
        <v>74</v>
      </c>
      <c r="C44" s="247">
        <v>251.5</v>
      </c>
      <c r="D44" s="247">
        <v>1735</v>
      </c>
      <c r="E44" s="134">
        <f>IF(OR(C44="",D44="", D44&lt;0),"---",        IF(AND(C44&gt;0, D44&gt;=M44,D44&gt;=ABS(C44)*K44),D44,"---"))</f>
        <v>1735</v>
      </c>
      <c r="F44" s="13" t="e">
        <f>IF(OR(#REF!="", E44=""),"",(E44-#REF!*J44)^H44*(I44+E44*L44))</f>
        <v>#REF!</v>
      </c>
      <c r="G44" s="138">
        <f t="shared" ref="G44:G53" si="6">IF(E44="---","---", (E44-ABS(C44)*J44)^H44*(I44+E44*L44))</f>
        <v>304.93314604546555</v>
      </c>
      <c r="H44" s="120">
        <v>0.50449999999999995</v>
      </c>
      <c r="I44" s="99">
        <v>7.0791000000000004</v>
      </c>
      <c r="J44" s="100">
        <v>0</v>
      </c>
      <c r="K44" s="100">
        <v>0.15</v>
      </c>
      <c r="L44" s="101">
        <v>0</v>
      </c>
      <c r="M44" s="102">
        <v>250</v>
      </c>
      <c r="N44" s="23" t="s">
        <v>36</v>
      </c>
      <c r="O44" s="23"/>
      <c r="P44" s="23"/>
      <c r="Q44" s="23"/>
      <c r="R44" s="23"/>
      <c r="S44" s="23"/>
      <c r="T44" s="23"/>
      <c r="U44" s="23"/>
    </row>
    <row r="45" spans="1:21" ht="15.75" customHeight="1" x14ac:dyDescent="0.25">
      <c r="A45" s="938"/>
      <c r="B45" s="45">
        <v>74</v>
      </c>
      <c r="C45" s="250">
        <v>-252.5</v>
      </c>
      <c r="D45" s="250">
        <v>1845</v>
      </c>
      <c r="E45" s="135">
        <f>IF(OR(C45="",D45="", D45&lt;0),"---",        IF(AND(C45&lt;0, D45&gt;=M45,D45&gt;=ABS(C45)*K45),D45,"---"))</f>
        <v>1845</v>
      </c>
      <c r="F45" s="15" t="e">
        <f>IF(OR(#REF!="", E45=""),"",(E45-#REF!*J45)^H45*(I45+E45*L45))</f>
        <v>#REF!</v>
      </c>
      <c r="G45" s="137">
        <f t="shared" si="6"/>
        <v>309.82384126577097</v>
      </c>
      <c r="H45" s="121">
        <v>0.50449999999999995</v>
      </c>
      <c r="I45" s="218">
        <v>6.9729999999999999</v>
      </c>
      <c r="J45" s="103">
        <v>0</v>
      </c>
      <c r="K45" s="103">
        <v>0.15</v>
      </c>
      <c r="L45" s="104">
        <v>0</v>
      </c>
      <c r="M45" s="105">
        <v>250</v>
      </c>
      <c r="N45" s="23" t="s">
        <v>37</v>
      </c>
      <c r="O45" s="23"/>
      <c r="P45" s="23"/>
      <c r="Q45" s="30"/>
      <c r="R45" s="30"/>
      <c r="S45" s="30"/>
      <c r="T45" s="30"/>
      <c r="U45" s="30"/>
    </row>
    <row r="46" spans="1:21" ht="15" customHeight="1" x14ac:dyDescent="0.25">
      <c r="A46" s="938"/>
      <c r="B46" s="46">
        <v>47</v>
      </c>
      <c r="C46" s="250">
        <v>250</v>
      </c>
      <c r="D46" s="250">
        <v>300</v>
      </c>
      <c r="E46" s="135">
        <f t="shared" ref="E46:E53" si="7">IF(OR(C46="",D46="", D46&lt;0),"---",        IF(AND(D46&gt;=M46,D46&gt;=ABS(C46)*K46),D46,"---"))</f>
        <v>300</v>
      </c>
      <c r="F46" s="15" t="e">
        <f>IF(OR(#REF!="", E46=""),"",(E46-#REF!*J46)^H46*(I46+E46*L46))</f>
        <v>#REF!</v>
      </c>
      <c r="G46" s="137">
        <f t="shared" si="6"/>
        <v>54.199653513024053</v>
      </c>
      <c r="H46" s="122">
        <v>0.48799999999999999</v>
      </c>
      <c r="I46" s="8">
        <v>3.3508990000000001</v>
      </c>
      <c r="J46" s="5">
        <v>0</v>
      </c>
      <c r="K46" s="5">
        <v>0.12</v>
      </c>
      <c r="L46" s="36">
        <v>0</v>
      </c>
      <c r="M46" s="37">
        <v>250</v>
      </c>
      <c r="P46" s="30"/>
      <c r="Q46" s="30"/>
      <c r="R46" s="30"/>
      <c r="S46" s="30"/>
      <c r="T46" s="30"/>
    </row>
    <row r="47" spans="1:21" ht="15" customHeight="1" x14ac:dyDescent="0.25">
      <c r="A47" s="938"/>
      <c r="B47" s="6">
        <v>29</v>
      </c>
      <c r="C47" s="250">
        <v>250</v>
      </c>
      <c r="D47" s="250">
        <v>300</v>
      </c>
      <c r="E47" s="135">
        <f t="shared" si="7"/>
        <v>300</v>
      </c>
      <c r="F47" s="15" t="e">
        <f>IF(OR(#REF!="", E47=""),"",(E47-#REF!*J47)^H47*(I47+E47*L47))</f>
        <v>#REF!</v>
      </c>
      <c r="G47" s="137">
        <f t="shared" si="6"/>
        <v>18.835284879725645</v>
      </c>
      <c r="H47" s="122">
        <v>0.49890000000000001</v>
      </c>
      <c r="I47" s="8">
        <v>1.0943000000000001</v>
      </c>
      <c r="J47" s="5">
        <v>0</v>
      </c>
      <c r="K47" s="5">
        <v>0.15</v>
      </c>
      <c r="L47" s="36">
        <v>0</v>
      </c>
      <c r="M47" s="37">
        <v>250</v>
      </c>
      <c r="O47" s="1"/>
      <c r="P47" s="1"/>
      <c r="Q47" s="1"/>
      <c r="R47" s="30"/>
      <c r="S47" s="30"/>
      <c r="T47" s="30"/>
    </row>
    <row r="48" spans="1:21" ht="15" customHeight="1" x14ac:dyDescent="0.25">
      <c r="A48" s="938"/>
      <c r="B48" s="6">
        <v>18</v>
      </c>
      <c r="C48" s="250">
        <v>250</v>
      </c>
      <c r="D48" s="250">
        <v>300</v>
      </c>
      <c r="E48" s="135">
        <f t="shared" si="7"/>
        <v>300</v>
      </c>
      <c r="F48" s="20" t="e">
        <f>IF(OR(#REF!="", E48=""),"",(E48-#REF!*J48)^H48*(I48+E48*L48))</f>
        <v>#REF!</v>
      </c>
      <c r="G48" s="147">
        <f t="shared" si="6"/>
        <v>7.4319424348078034</v>
      </c>
      <c r="H48" s="122">
        <v>0.49930000000000002</v>
      </c>
      <c r="I48" s="4">
        <v>0.43080000000000002</v>
      </c>
      <c r="J48" s="5">
        <v>0</v>
      </c>
      <c r="K48" s="5">
        <v>0.15</v>
      </c>
      <c r="L48" s="36">
        <v>0</v>
      </c>
      <c r="M48" s="37">
        <v>250</v>
      </c>
    </row>
    <row r="49" spans="1:13" ht="15" customHeight="1" x14ac:dyDescent="0.25">
      <c r="A49" s="938"/>
      <c r="B49" s="47">
        <v>11</v>
      </c>
      <c r="C49" s="250">
        <v>250</v>
      </c>
      <c r="D49" s="250">
        <v>300</v>
      </c>
      <c r="E49" s="135">
        <f t="shared" si="7"/>
        <v>300</v>
      </c>
      <c r="F49" s="20" t="e">
        <f>IF(OR(#REF!="", E49=""),"",(E49-#REF!*J49)^H49*(I49+E49*L49))</f>
        <v>#REF!</v>
      </c>
      <c r="G49" s="147">
        <f t="shared" si="6"/>
        <v>2.9483430076007933</v>
      </c>
      <c r="H49" s="122">
        <v>0.50219999999999998</v>
      </c>
      <c r="I49" s="4">
        <v>0.1681</v>
      </c>
      <c r="J49" s="5">
        <v>0</v>
      </c>
      <c r="K49" s="5">
        <v>0.14000000000000001</v>
      </c>
      <c r="L49" s="36">
        <v>0</v>
      </c>
      <c r="M49" s="37">
        <v>250</v>
      </c>
    </row>
    <row r="50" spans="1:13" ht="15" customHeight="1" x14ac:dyDescent="0.25">
      <c r="A50" s="938"/>
      <c r="B50" s="6">
        <v>7</v>
      </c>
      <c r="C50" s="250">
        <v>-251</v>
      </c>
      <c r="D50" s="250">
        <v>890</v>
      </c>
      <c r="E50" s="135">
        <f t="shared" si="7"/>
        <v>890</v>
      </c>
      <c r="F50" s="68" t="e">
        <f>IF(OR(#REF!="", E50=""),"",(E50-#REF!*J50)^H50*(I50+E50*L50))</f>
        <v>#REF!</v>
      </c>
      <c r="G50" s="147">
        <f t="shared" si="6"/>
        <v>1.9960485462443669</v>
      </c>
      <c r="H50" s="122">
        <v>0.50090000000000001</v>
      </c>
      <c r="I50" s="42">
        <v>6.6500000000000004E-2</v>
      </c>
      <c r="J50" s="5">
        <v>0</v>
      </c>
      <c r="K50" s="5">
        <v>0.08</v>
      </c>
      <c r="L50" s="36">
        <v>0</v>
      </c>
      <c r="M50" s="37">
        <v>250</v>
      </c>
    </row>
    <row r="51" spans="1:13" ht="15" customHeight="1" x14ac:dyDescent="0.25">
      <c r="A51" s="938"/>
      <c r="B51" s="6">
        <v>3</v>
      </c>
      <c r="C51" s="250">
        <v>250</v>
      </c>
      <c r="D51" s="250">
        <v>250</v>
      </c>
      <c r="E51" s="135">
        <f t="shared" si="7"/>
        <v>250</v>
      </c>
      <c r="F51" s="68" t="e">
        <f>IF(OR(#REF!="", E51=""),"",(E51-#REF!*J51)^H51*(I51+E51*L51))</f>
        <v>#REF!</v>
      </c>
      <c r="G51" s="147">
        <f t="shared" si="6"/>
        <v>0.29399358302615847</v>
      </c>
      <c r="H51" s="122">
        <v>0.55400000000000005</v>
      </c>
      <c r="I51" s="42">
        <v>1.38E-2</v>
      </c>
      <c r="J51" s="5">
        <v>0</v>
      </c>
      <c r="K51" s="5">
        <v>0.1</v>
      </c>
      <c r="L51" s="36">
        <v>0</v>
      </c>
      <c r="M51" s="37">
        <v>250</v>
      </c>
    </row>
    <row r="52" spans="1:13" ht="15" customHeight="1" x14ac:dyDescent="0.25">
      <c r="A52" s="938"/>
      <c r="B52" s="6">
        <v>2</v>
      </c>
      <c r="C52" s="250">
        <v>250</v>
      </c>
      <c r="D52" s="250">
        <v>250</v>
      </c>
      <c r="E52" s="135" t="str">
        <f t="shared" si="7"/>
        <v>---</v>
      </c>
      <c r="F52" s="68" t="e">
        <f>IF(OR(#REF!="", E52=""),"",(E52-#REF!*J52)^H52*(I52+E52*L52))</f>
        <v>#REF!</v>
      </c>
      <c r="G52" s="147" t="str">
        <f t="shared" si="6"/>
        <v>---</v>
      </c>
      <c r="H52" s="113">
        <v>0.53</v>
      </c>
      <c r="I52" s="42">
        <v>6.4999999999999997E-3</v>
      </c>
      <c r="J52" s="5">
        <v>0</v>
      </c>
      <c r="K52" s="5">
        <v>0.12</v>
      </c>
      <c r="L52" s="36">
        <v>0</v>
      </c>
      <c r="M52" s="37">
        <v>350</v>
      </c>
    </row>
    <row r="53" spans="1:13" ht="15.75" customHeight="1" thickBot="1" x14ac:dyDescent="0.3">
      <c r="A53" s="939"/>
      <c r="B53" s="7">
        <v>1</v>
      </c>
      <c r="C53" s="252">
        <v>100</v>
      </c>
      <c r="D53" s="252">
        <v>100</v>
      </c>
      <c r="E53" s="136" t="str">
        <f t="shared" si="7"/>
        <v>---</v>
      </c>
      <c r="F53" s="21" t="e">
        <f>IF(OR(#REF!="", E53=""),"",(E53-#REF!*J53)^H53*(I53+E53*L53))</f>
        <v>#REF!</v>
      </c>
      <c r="G53" s="149" t="str">
        <f t="shared" si="6"/>
        <v>---</v>
      </c>
      <c r="H53" s="114">
        <v>0.56000000000000005</v>
      </c>
      <c r="I53" s="38">
        <v>2.0400000000000001E-3</v>
      </c>
      <c r="J53" s="19">
        <v>0</v>
      </c>
      <c r="K53" s="19">
        <v>0.12</v>
      </c>
      <c r="L53" s="39">
        <v>0</v>
      </c>
      <c r="M53" s="40">
        <v>350</v>
      </c>
    </row>
    <row r="54" spans="1:13" ht="15.75" customHeight="1" thickBot="1" x14ac:dyDescent="0.3">
      <c r="C54" s="77"/>
      <c r="D54" s="79"/>
      <c r="E54" s="78"/>
      <c r="G54" s="108"/>
      <c r="H54" s="77"/>
      <c r="I54" s="79"/>
      <c r="J54" s="79"/>
      <c r="K54" s="79"/>
      <c r="L54" s="78"/>
      <c r="M54" s="694"/>
    </row>
    <row r="55" spans="1:13" ht="15.75" customHeight="1" x14ac:dyDescent="0.25">
      <c r="A55" s="937" t="s">
        <v>53</v>
      </c>
      <c r="B55" s="51" t="s">
        <v>4</v>
      </c>
      <c r="C55" s="247">
        <v>25</v>
      </c>
      <c r="D55" s="253">
        <v>300</v>
      </c>
      <c r="E55" s="134">
        <f t="shared" ref="E55:E65" si="8">IF(OR(C55="",D55="", D55&lt;0),"---",        IF(AND(D55&gt;=M55,D55&gt;=ABS(C55)*K55),D55,"---"))</f>
        <v>300</v>
      </c>
      <c r="F55" s="13" t="e">
        <f>IF(OR(#REF!="", E55=""),"",(E55-#REF!*J55)^H55*(I55+E55*L55))</f>
        <v>#REF!</v>
      </c>
      <c r="G55" s="132">
        <f t="shared" ref="G55:G65" si="9">IF(E55="---","---", (E55-ABS(C55)*J55)^H55*(I55+E55*L55))</f>
        <v>9522.166013309321</v>
      </c>
      <c r="H55" s="695">
        <v>0.52139999999999997</v>
      </c>
      <c r="I55" s="16">
        <v>519.61829999999998</v>
      </c>
      <c r="J55" s="16">
        <v>-7.0000000000000007E-2</v>
      </c>
      <c r="K55" s="16">
        <v>0.8</v>
      </c>
      <c r="L55" s="16">
        <v>-0.115</v>
      </c>
      <c r="M55" s="35">
        <v>8.6</v>
      </c>
    </row>
    <row r="56" spans="1:13" ht="15.75" customHeight="1" x14ac:dyDescent="0.25">
      <c r="A56" s="938"/>
      <c r="B56" s="6" t="s">
        <v>55</v>
      </c>
      <c r="C56" s="250">
        <v>25</v>
      </c>
      <c r="D56" s="254">
        <v>300</v>
      </c>
      <c r="E56" s="135">
        <f t="shared" si="8"/>
        <v>300</v>
      </c>
      <c r="F56" s="15" t="e">
        <f>IF(OR(#REF!="", E56=""),"",(E56-#REF!*J56)^H56*(I56+E56*L56))</f>
        <v>#REF!</v>
      </c>
      <c r="G56" s="137">
        <f t="shared" si="9"/>
        <v>4683.733866088226</v>
      </c>
      <c r="H56" s="113">
        <v>0.503</v>
      </c>
      <c r="I56" s="8">
        <v>264.99590000000001</v>
      </c>
      <c r="J56" s="5">
        <v>-7.4999999999999997E-2</v>
      </c>
      <c r="K56" s="5">
        <v>1</v>
      </c>
      <c r="L56" s="36">
        <v>0</v>
      </c>
      <c r="M56" s="37">
        <v>12</v>
      </c>
    </row>
    <row r="57" spans="1:13" ht="15.75" customHeight="1" x14ac:dyDescent="0.25">
      <c r="A57" s="938"/>
      <c r="B57" s="46" t="s">
        <v>56</v>
      </c>
      <c r="C57" s="250">
        <v>25</v>
      </c>
      <c r="D57" s="254">
        <v>300</v>
      </c>
      <c r="E57" s="135">
        <f t="shared" si="8"/>
        <v>300</v>
      </c>
      <c r="F57" s="15" t="e">
        <f>IF(OR(#REF!="", E57=""),"",(E57-#REF!*J57)^H57*(I57+E57*L57))</f>
        <v>#REF!</v>
      </c>
      <c r="G57" s="137">
        <f t="shared" si="9"/>
        <v>3029.0520214958342</v>
      </c>
      <c r="H57" s="113">
        <v>0.5</v>
      </c>
      <c r="I57" s="8">
        <v>174.88239999999999</v>
      </c>
      <c r="J57" s="5">
        <v>0</v>
      </c>
      <c r="K57" s="5">
        <v>0.3</v>
      </c>
      <c r="L57" s="36">
        <v>0</v>
      </c>
      <c r="M57" s="37">
        <v>10</v>
      </c>
    </row>
    <row r="58" spans="1:13" ht="15.75" customHeight="1" x14ac:dyDescent="0.25">
      <c r="A58" s="938"/>
      <c r="B58" s="6" t="s">
        <v>57</v>
      </c>
      <c r="C58" s="250">
        <v>25</v>
      </c>
      <c r="D58" s="254">
        <v>300</v>
      </c>
      <c r="E58" s="135">
        <f t="shared" si="8"/>
        <v>300</v>
      </c>
      <c r="F58" s="15" t="e">
        <f>IF(OR(#REF!="", E58=""),"",(E58-#REF!*J58)^H58*(I58+E58*L58))</f>
        <v>#REF!</v>
      </c>
      <c r="G58" s="137">
        <f t="shared" si="9"/>
        <v>1444.0001540858641</v>
      </c>
      <c r="H58" s="113">
        <v>0.5</v>
      </c>
      <c r="I58" s="8">
        <v>78.5</v>
      </c>
      <c r="J58" s="5">
        <v>-0.02</v>
      </c>
      <c r="K58" s="5">
        <v>0.5</v>
      </c>
      <c r="L58" s="36">
        <v>1.6E-2</v>
      </c>
      <c r="M58" s="37">
        <v>10</v>
      </c>
    </row>
    <row r="59" spans="1:13" ht="15.75" customHeight="1" x14ac:dyDescent="0.25">
      <c r="A59" s="938"/>
      <c r="B59" s="6" t="s">
        <v>58</v>
      </c>
      <c r="C59" s="250">
        <v>25</v>
      </c>
      <c r="D59" s="254">
        <v>300</v>
      </c>
      <c r="E59" s="135">
        <f t="shared" si="8"/>
        <v>300</v>
      </c>
      <c r="F59" s="20" t="e">
        <f>IF(OR(#REF!="", E59=""),"",(E59-#REF!*J59)^H59*(I59+E59*L59))</f>
        <v>#REF!</v>
      </c>
      <c r="G59" s="147">
        <f t="shared" si="9"/>
        <v>1111.3147778720547</v>
      </c>
      <c r="H59" s="112">
        <v>0.505</v>
      </c>
      <c r="I59" s="5">
        <v>61.3</v>
      </c>
      <c r="J59" s="5">
        <v>5.3999999999999999E-2</v>
      </c>
      <c r="K59" s="5">
        <v>0.5</v>
      </c>
      <c r="L59" s="36">
        <v>4.0000000000000001E-3</v>
      </c>
      <c r="M59" s="37">
        <v>10</v>
      </c>
    </row>
    <row r="60" spans="1:13" ht="15.75" customHeight="1" x14ac:dyDescent="0.25">
      <c r="A60" s="938"/>
      <c r="B60" s="47" t="s">
        <v>59</v>
      </c>
      <c r="C60" s="250">
        <v>25</v>
      </c>
      <c r="D60" s="254">
        <v>300</v>
      </c>
      <c r="E60" s="135">
        <f t="shared" si="8"/>
        <v>300</v>
      </c>
      <c r="F60" s="20" t="e">
        <f>IF(OR(#REF!="", E60=""),"",(E60-#REF!*J60)^H60*(I60+E60*L60))</f>
        <v>#REF!</v>
      </c>
      <c r="G60" s="147">
        <f t="shared" si="9"/>
        <v>764.71793934550465</v>
      </c>
      <c r="H60" s="113">
        <v>0.50770000000000004</v>
      </c>
      <c r="I60" s="4">
        <v>42</v>
      </c>
      <c r="J60" s="5">
        <v>8.9999999999999993E-3</v>
      </c>
      <c r="K60" s="5">
        <v>0.5</v>
      </c>
      <c r="L60" s="36">
        <v>8.9999999999999998E-4</v>
      </c>
      <c r="M60" s="37">
        <v>10</v>
      </c>
    </row>
    <row r="61" spans="1:13" ht="15.75" customHeight="1" x14ac:dyDescent="0.25">
      <c r="A61" s="938"/>
      <c r="B61" s="6" t="s">
        <v>60</v>
      </c>
      <c r="C61" s="250">
        <v>25</v>
      </c>
      <c r="D61" s="254">
        <v>300</v>
      </c>
      <c r="E61" s="135">
        <f t="shared" si="8"/>
        <v>300</v>
      </c>
      <c r="F61" s="68" t="e">
        <f>IF(OR(#REF!="", E61=""),"",(E61-#REF!*J61)^H61*(I61+E61*L61))</f>
        <v>#REF!</v>
      </c>
      <c r="G61" s="147">
        <f t="shared" si="9"/>
        <v>419.25968409087056</v>
      </c>
      <c r="H61" s="113">
        <v>0.52</v>
      </c>
      <c r="I61" s="5">
        <v>22</v>
      </c>
      <c r="J61" s="5">
        <v>0.11</v>
      </c>
      <c r="K61" s="5">
        <v>0.5</v>
      </c>
      <c r="L61" s="36">
        <v>-1E-3</v>
      </c>
      <c r="M61" s="37">
        <v>10</v>
      </c>
    </row>
    <row r="62" spans="1:13" ht="15.75" customHeight="1" x14ac:dyDescent="0.25">
      <c r="A62" s="938"/>
      <c r="B62" s="6" t="s">
        <v>61</v>
      </c>
      <c r="C62" s="250">
        <v>25</v>
      </c>
      <c r="D62" s="254">
        <v>300</v>
      </c>
      <c r="E62" s="135">
        <f t="shared" si="8"/>
        <v>300</v>
      </c>
      <c r="F62" s="68" t="e">
        <f>IF(OR(#REF!="", E62=""),"",(E62-#REF!*J62)^H62*(I62+E62*L62))</f>
        <v>#REF!</v>
      </c>
      <c r="G62" s="147">
        <f t="shared" si="9"/>
        <v>250.26982014313322</v>
      </c>
      <c r="H62" s="112">
        <v>0.54100000000000004</v>
      </c>
      <c r="I62" s="42">
        <v>11.9239</v>
      </c>
      <c r="J62" s="5">
        <v>0.13</v>
      </c>
      <c r="K62" s="5">
        <v>0.4</v>
      </c>
      <c r="L62" s="36">
        <v>-1.4E-3</v>
      </c>
      <c r="M62" s="37">
        <v>10</v>
      </c>
    </row>
    <row r="63" spans="1:13" ht="15.75" customHeight="1" x14ac:dyDescent="0.25">
      <c r="A63" s="938"/>
      <c r="B63" s="6" t="s">
        <v>62</v>
      </c>
      <c r="C63" s="250">
        <v>25</v>
      </c>
      <c r="D63" s="254">
        <v>300</v>
      </c>
      <c r="E63" s="135">
        <f>IF(OR(C63="",D63="", D63&lt;0),"---",        IF(AND(D63&gt;=M63,D63&gt;=ABS(C63)*K63),D63,"---"))</f>
        <v>300</v>
      </c>
      <c r="F63" s="68" t="e">
        <f>IF(OR(#REF!="", E63=""),"",(E63-#REF!*J63)^H63*(I63+E63*L63))</f>
        <v>#REF!</v>
      </c>
      <c r="G63" s="147">
        <f>IF(E63="---","---", (E63-ABS(C63)*J63)^H63*(I63+E63*L63))</f>
        <v>65.196918819633595</v>
      </c>
      <c r="H63" s="112">
        <v>0.48</v>
      </c>
      <c r="I63" s="42">
        <v>4.0994999999999999</v>
      </c>
      <c r="J63" s="5">
        <v>3.0000000000000001E-3</v>
      </c>
      <c r="K63" s="5">
        <v>1</v>
      </c>
      <c r="L63" s="36">
        <v>4.0000000000000002E-4</v>
      </c>
      <c r="M63" s="37">
        <v>10</v>
      </c>
    </row>
    <row r="64" spans="1:13" ht="15.75" customHeight="1" x14ac:dyDescent="0.25">
      <c r="A64" s="938"/>
      <c r="B64" s="6" t="s">
        <v>63</v>
      </c>
      <c r="C64" s="250">
        <v>25</v>
      </c>
      <c r="D64" s="254">
        <v>300</v>
      </c>
      <c r="E64" s="135">
        <f t="shared" si="8"/>
        <v>300</v>
      </c>
      <c r="F64" s="68" t="e">
        <f>IF(OR(#REF!="", E64=""),"",(E64-#REF!*J64)^H64*(I64+E64*L64))</f>
        <v>#REF!</v>
      </c>
      <c r="G64" s="147">
        <f t="shared" si="9"/>
        <v>36.751828474260371</v>
      </c>
      <c r="H64" s="113">
        <v>0.502</v>
      </c>
      <c r="I64" s="42">
        <v>2.0678000000000001</v>
      </c>
      <c r="J64" s="5">
        <v>0</v>
      </c>
      <c r="K64" s="5">
        <v>0.5</v>
      </c>
      <c r="L64" s="36">
        <v>1E-4</v>
      </c>
      <c r="M64" s="37">
        <v>10</v>
      </c>
    </row>
    <row r="65" spans="1:26" ht="15.75" customHeight="1" thickBot="1" x14ac:dyDescent="0.3">
      <c r="A65" s="939"/>
      <c r="B65" s="7" t="s">
        <v>64</v>
      </c>
      <c r="C65" s="252">
        <v>25</v>
      </c>
      <c r="D65" s="255">
        <v>300</v>
      </c>
      <c r="E65" s="136">
        <f t="shared" si="8"/>
        <v>300</v>
      </c>
      <c r="F65" s="21" t="e">
        <f>IF(OR(#REF!="", E65=""),"",(E65-#REF!*J65)^H65*(I65+E65*L65))</f>
        <v>#REF!</v>
      </c>
      <c r="G65" s="149">
        <f t="shared" si="9"/>
        <v>19.690190981459779</v>
      </c>
      <c r="H65" s="114">
        <v>0.49249999999999999</v>
      </c>
      <c r="I65" s="53">
        <v>1.1614</v>
      </c>
      <c r="J65" s="19">
        <v>0.1</v>
      </c>
      <c r="K65" s="19">
        <v>0.5</v>
      </c>
      <c r="L65" s="39">
        <v>1E-4</v>
      </c>
      <c r="M65" s="40">
        <v>10</v>
      </c>
    </row>
    <row r="66" spans="1:26" ht="15.75" customHeight="1" x14ac:dyDescent="0.25"/>
    <row r="67" spans="1:26" ht="15.75" customHeight="1" x14ac:dyDescent="0.25"/>
    <row r="68" spans="1:26" ht="99" customHeight="1" thickBot="1" x14ac:dyDescent="0.3">
      <c r="G68" s="940" t="s">
        <v>97</v>
      </c>
      <c r="H68" s="941"/>
      <c r="I68" s="941"/>
      <c r="J68" s="941"/>
      <c r="K68" s="941"/>
      <c r="L68" s="941"/>
      <c r="M68" s="941"/>
      <c r="N68" s="941"/>
    </row>
    <row r="69" spans="1:26" ht="39.75" customHeight="1" thickBot="1" x14ac:dyDescent="0.3">
      <c r="C69" s="944" t="s">
        <v>28</v>
      </c>
      <c r="D69" s="945"/>
      <c r="E69" s="144" t="s">
        <v>38</v>
      </c>
      <c r="G69" s="942"/>
      <c r="H69" s="942"/>
      <c r="I69" s="942"/>
      <c r="J69" s="942"/>
      <c r="K69" s="942"/>
      <c r="L69" s="942"/>
      <c r="M69" s="942"/>
      <c r="N69" s="942"/>
    </row>
    <row r="70" spans="1:26" ht="59.25" customHeight="1" thickBot="1" x14ac:dyDescent="0.35">
      <c r="C70" s="80" t="s">
        <v>34</v>
      </c>
      <c r="D70" s="81" t="s">
        <v>30</v>
      </c>
      <c r="E70" s="126" t="s">
        <v>40</v>
      </c>
      <c r="F70" s="140" t="s">
        <v>27</v>
      </c>
      <c r="G70" s="115" t="s">
        <v>26</v>
      </c>
      <c r="H70" s="127" t="s">
        <v>1</v>
      </c>
      <c r="I70" s="128" t="s">
        <v>0</v>
      </c>
      <c r="J70" s="128" t="s">
        <v>19</v>
      </c>
      <c r="K70" s="128" t="s">
        <v>20</v>
      </c>
      <c r="L70" s="128" t="s">
        <v>21</v>
      </c>
      <c r="M70" s="128" t="s">
        <v>22</v>
      </c>
      <c r="N70" s="128" t="s">
        <v>23</v>
      </c>
      <c r="O70" s="128" t="s">
        <v>24</v>
      </c>
      <c r="P70" s="128" t="s">
        <v>25</v>
      </c>
      <c r="Q70" s="129" t="s">
        <v>6</v>
      </c>
    </row>
    <row r="71" spans="1:26" ht="15" customHeight="1" x14ac:dyDescent="0.25">
      <c r="A71" s="937">
        <v>4000</v>
      </c>
      <c r="B71" s="90" t="s">
        <v>4</v>
      </c>
      <c r="C71" s="745">
        <v>25</v>
      </c>
      <c r="D71" s="745">
        <v>300</v>
      </c>
      <c r="E71" s="134">
        <f>IF(OR(C71="",D71="",D71&lt;0),"",        IF(AND(C71&gt;=0,D71&gt;=Q71, D71&gt;=ABS(C71)*P71),D71,         IF(AND(C71&lt;0, (ABS(D71)-ABS(C71))&gt;=Q71, (ABS(D71)-ABS(C71))&gt;=ABS(C71)*P71),(ABS(D71)-ABS(C71)),"---")))</f>
        <v>300</v>
      </c>
      <c r="F71" s="13" t="e">
        <f>IF(OR(#REF!="", E71=""),"",E71^H71*I71)</f>
        <v>#REF!</v>
      </c>
      <c r="G71" s="118">
        <f>IF(E71="---","---", E71^H71*I71)</f>
        <v>9248.8296144371689</v>
      </c>
      <c r="H71" s="124">
        <v>0.53</v>
      </c>
      <c r="I71" s="16">
        <v>450</v>
      </c>
      <c r="J71" s="696"/>
      <c r="K71" s="696"/>
      <c r="L71" s="697"/>
      <c r="M71" s="698"/>
      <c r="N71" s="698"/>
      <c r="O71" s="698"/>
      <c r="P71" s="64">
        <v>0.2</v>
      </c>
      <c r="Q71" s="35">
        <v>10</v>
      </c>
      <c r="R71" s="108" t="s">
        <v>42</v>
      </c>
      <c r="S71" s="108"/>
      <c r="T71" s="108"/>
      <c r="U71" s="108"/>
      <c r="V71" s="30"/>
    </row>
    <row r="72" spans="1:26" ht="15" customHeight="1" x14ac:dyDescent="0.25">
      <c r="A72" s="938"/>
      <c r="B72" s="91" t="s">
        <v>11</v>
      </c>
      <c r="C72" s="746">
        <v>-25</v>
      </c>
      <c r="D72" s="746">
        <v>300</v>
      </c>
      <c r="E72" s="135">
        <f>IF(OR(C72="",D72="",D72&lt;0),"",        IF(AND(C72&gt;=0,D72&gt;=Q72, D72&gt;=ABS(C72)*P72),D72,         IF(AND(C72&lt;0, (ABS(D72)-ABS(C72))&gt;=Q72, (ABS(D72)-ABS(C72))&gt;=ABS(C72)*P72),(ABS(D72)-ABS(C72)),"---")))</f>
        <v>275</v>
      </c>
      <c r="F72" s="15" t="e">
        <f>IF(OR(#REF!="", E72=""),"",E72^H72*I72)</f>
        <v>#REF!</v>
      </c>
      <c r="G72" s="119">
        <f>IF(E72="---","---", E72^H72*I72)</f>
        <v>4572.9621968409519</v>
      </c>
      <c r="H72" s="113">
        <v>0.48499999999999999</v>
      </c>
      <c r="I72" s="5">
        <v>300</v>
      </c>
      <c r="J72" s="4"/>
      <c r="K72" s="4"/>
      <c r="L72" s="94"/>
      <c r="M72" s="87"/>
      <c r="N72" s="87"/>
      <c r="O72" s="87"/>
      <c r="P72" s="65">
        <v>0.2</v>
      </c>
      <c r="Q72" s="37">
        <v>20</v>
      </c>
      <c r="R72" s="108" t="s">
        <v>42</v>
      </c>
      <c r="S72" s="108"/>
      <c r="T72" s="108"/>
      <c r="U72" s="108"/>
      <c r="V72" s="30"/>
    </row>
    <row r="73" spans="1:26" ht="15" customHeight="1" x14ac:dyDescent="0.25">
      <c r="A73" s="938"/>
      <c r="B73" s="92" t="s">
        <v>12</v>
      </c>
      <c r="C73" s="746">
        <v>25</v>
      </c>
      <c r="D73" s="746">
        <v>300</v>
      </c>
      <c r="E73" s="135">
        <f>IF(OR(C73="",D73="",D73&lt;0),"",        IF(AND(C73&gt;=0,D73&gt;=Q73, D73&gt;=ABS(C73)*P73),D73,         IF(AND(C73&lt;0, (ABS(D73)-ABS(C73))&gt;=Q73, (ABS(D73)-ABS(C73))&gt;=ABS(C73)*P73),(ABS(D73)-ABS(C73)),"---")))</f>
        <v>300</v>
      </c>
      <c r="F73" s="15" t="e">
        <f>IF(OR(#REF!="", E73=""),"",E73^H73*I73)</f>
        <v>#REF!</v>
      </c>
      <c r="G73" s="119">
        <f>IF(E73="---","---", E73^H73*I73)</f>
        <v>2465.5100287267451</v>
      </c>
      <c r="H73" s="113">
        <v>0.52</v>
      </c>
      <c r="I73" s="5">
        <v>127</v>
      </c>
      <c r="J73" s="95"/>
      <c r="K73" s="95"/>
      <c r="L73" s="96"/>
      <c r="M73" s="97"/>
      <c r="N73" s="97"/>
      <c r="O73" s="97"/>
      <c r="P73" s="699">
        <v>0.2</v>
      </c>
      <c r="Q73" s="37">
        <v>15</v>
      </c>
      <c r="R73" s="108" t="s">
        <v>42</v>
      </c>
      <c r="S73" s="108"/>
      <c r="T73" s="108"/>
      <c r="U73" s="108"/>
      <c r="V73" s="30"/>
      <c r="W73" s="98"/>
    </row>
    <row r="74" spans="1:26" ht="15" customHeight="1" thickBot="1" x14ac:dyDescent="0.3">
      <c r="A74" s="939"/>
      <c r="B74" s="93" t="s">
        <v>13</v>
      </c>
      <c r="C74" s="249">
        <v>53.8</v>
      </c>
      <c r="D74" s="249">
        <v>47.6</v>
      </c>
      <c r="E74" s="136">
        <f>IF(OR(C74="",D74="",D74&lt;0),"",        IF(AND(C74&gt;=0,D74&gt;=Q74, D74&gt;=ABS(C74)*P74),D74,         IF(AND(C74&lt;0, (ABS(D74)-ABS(C74))&gt;=Q74, (ABS(D74)-ABS(C74))&gt;=ABS(C74)*P74),(ABS(D74)-ABS(C74)),"---")))</f>
        <v>47.6</v>
      </c>
      <c r="F74" s="130" t="e">
        <f>IF(OR(#REF!="", E74=""),"",E74^3*L74+E74^2*M74+E74*N74+O74+(J74-#REF!)*K74)</f>
        <v>#REF!</v>
      </c>
      <c r="G74" s="123">
        <f>IF(E74="---","---", E74^3*L74+E74^2*M74+E74*N74+O74+(J74-ABS(C74))*K74)</f>
        <v>376.48104016512002</v>
      </c>
      <c r="H74" s="700"/>
      <c r="I74" s="701"/>
      <c r="J74" s="19">
        <v>0</v>
      </c>
      <c r="K74" s="88">
        <v>0.7</v>
      </c>
      <c r="L74" s="89">
        <v>6.6200000000000001E-6</v>
      </c>
      <c r="M74" s="702">
        <v>-7.7999999999999996E-3</v>
      </c>
      <c r="N74" s="703">
        <v>4.75</v>
      </c>
      <c r="O74" s="63">
        <v>205</v>
      </c>
      <c r="P74" s="66">
        <v>0.2</v>
      </c>
      <c r="Q74" s="40">
        <v>25</v>
      </c>
      <c r="R74" s="109" t="s">
        <v>41</v>
      </c>
      <c r="S74" s="108"/>
      <c r="T74" s="108"/>
      <c r="U74" s="108"/>
      <c r="V74" s="30"/>
      <c r="W74" s="98"/>
    </row>
    <row r="75" spans="1:26" s="1" customFormat="1" ht="15.75" customHeight="1" x14ac:dyDescent="0.25"/>
    <row r="76" spans="1:26" s="1" customFormat="1" ht="15.75" customHeight="1" x14ac:dyDescent="0.25"/>
    <row r="77" spans="1:26" s="133" customFormat="1" ht="94.5" customHeight="1" thickBot="1" x14ac:dyDescent="0.3">
      <c r="A77" s="33"/>
      <c r="B77" s="6"/>
      <c r="C77" s="2"/>
      <c r="D77" s="2"/>
      <c r="E77" s="2"/>
      <c r="F77" s="2"/>
      <c r="G77" s="940" t="s">
        <v>98</v>
      </c>
      <c r="H77" s="941"/>
      <c r="I77" s="941"/>
      <c r="J77" s="941"/>
      <c r="K77" s="941"/>
      <c r="L77" s="941"/>
      <c r="M77" s="941"/>
      <c r="N77" s="941"/>
      <c r="O77" s="2"/>
      <c r="P77" s="2"/>
      <c r="Q77" s="2"/>
      <c r="V77" s="72"/>
    </row>
    <row r="78" spans="1:26" s="133" customFormat="1" ht="47.25" customHeight="1" thickBot="1" x14ac:dyDescent="0.3">
      <c r="A78" s="33"/>
      <c r="B78" s="6"/>
      <c r="C78" s="944" t="s">
        <v>28</v>
      </c>
      <c r="D78" s="945"/>
      <c r="E78" s="144" t="s">
        <v>38</v>
      </c>
      <c r="F78" s="2"/>
      <c r="G78" s="942"/>
      <c r="H78" s="942"/>
      <c r="I78" s="942"/>
      <c r="J78" s="942"/>
      <c r="K78" s="942"/>
      <c r="L78" s="942"/>
      <c r="M78" s="942"/>
      <c r="N78" s="943"/>
      <c r="O78" s="2"/>
      <c r="P78" s="2"/>
      <c r="Q78" s="2"/>
      <c r="V78" s="72"/>
    </row>
    <row r="79" spans="1:26" ht="50.25" customHeight="1" thickBot="1" x14ac:dyDescent="0.35">
      <c r="A79" s="33"/>
      <c r="B79" s="6"/>
      <c r="C79" s="679" t="s">
        <v>34</v>
      </c>
      <c r="D79" s="704" t="s">
        <v>30</v>
      </c>
      <c r="E79" s="705" t="s">
        <v>40</v>
      </c>
      <c r="F79" s="706" t="s">
        <v>27</v>
      </c>
      <c r="G79" s="707" t="s">
        <v>26</v>
      </c>
      <c r="H79" s="708" t="s">
        <v>1</v>
      </c>
      <c r="I79" s="709" t="s">
        <v>0</v>
      </c>
      <c r="J79" s="709" t="s">
        <v>2</v>
      </c>
      <c r="K79" s="709" t="s">
        <v>5</v>
      </c>
      <c r="L79" s="709" t="s">
        <v>3</v>
      </c>
      <c r="M79" s="710" t="s">
        <v>6</v>
      </c>
      <c r="N79" s="711"/>
      <c r="O79" s="711"/>
      <c r="P79" s="711"/>
      <c r="Q79" s="711"/>
      <c r="V79" s="30"/>
      <c r="X79" s="10" t="s">
        <v>99</v>
      </c>
      <c r="Y79" s="2">
        <v>100</v>
      </c>
      <c r="Z79" s="2">
        <v>180</v>
      </c>
    </row>
    <row r="80" spans="1:26" ht="15.75" customHeight="1" x14ac:dyDescent="0.25">
      <c r="A80" s="937" t="s">
        <v>65</v>
      </c>
      <c r="B80" s="51" t="s">
        <v>4</v>
      </c>
      <c r="C80" s="247">
        <v>-50</v>
      </c>
      <c r="D80" s="253">
        <v>180</v>
      </c>
      <c r="E80" s="134">
        <f>IF(OR(C80="",D80="", D80&lt;0),"---",        IF(AND(D80&gt;=M80,D80&gt;=ABS(C80)*K80),D80,"---"))</f>
        <v>180</v>
      </c>
      <c r="F80" s="13" t="e">
        <f>IF(OR(#REF!="", E80=""),"",(E80-#REF!*J80)^H80*(I80+E80*L80))</f>
        <v>#REF!</v>
      </c>
      <c r="G80" s="118">
        <f>IF(E80="---","---", (E80-ABS(C80)*J80)^H80*(I80+E80*L80))</f>
        <v>7555.9535602270053</v>
      </c>
      <c r="H80" s="650">
        <v>0.52139999999999997</v>
      </c>
      <c r="I80" s="61">
        <v>519.61829999999998</v>
      </c>
      <c r="J80" s="16">
        <v>-7.0000000000000007E-2</v>
      </c>
      <c r="K80" s="16">
        <v>0.8</v>
      </c>
      <c r="L80" s="34">
        <v>-0.115</v>
      </c>
      <c r="M80" s="712">
        <v>8.6</v>
      </c>
      <c r="N80" s="108" t="s">
        <v>100</v>
      </c>
      <c r="O80" s="108"/>
      <c r="P80" s="108"/>
      <c r="Q80" s="108"/>
      <c r="V80" s="30"/>
      <c r="W80" s="232">
        <f>G80</f>
        <v>7555.9535602270053</v>
      </c>
      <c r="X80" s="232">
        <v>3682.3999802347703</v>
      </c>
      <c r="Y80" s="232">
        <v>5708.9302215096031</v>
      </c>
      <c r="Z80" s="232">
        <v>7555.9535602270053</v>
      </c>
    </row>
    <row r="81" spans="1:26" ht="15.75" customHeight="1" x14ac:dyDescent="0.25">
      <c r="A81" s="938"/>
      <c r="B81" s="6" t="s">
        <v>55</v>
      </c>
      <c r="C81" s="250">
        <v>25</v>
      </c>
      <c r="D81" s="254">
        <v>300</v>
      </c>
      <c r="E81" s="135">
        <f>IF(OR(C81="",D81="", D81&lt;0),"---",        IF(AND(D81&gt;=M81,D81&gt;=ABS(C81)*K81),D81,"---"))</f>
        <v>300</v>
      </c>
      <c r="F81" s="15" t="e">
        <f>IF(OR(#REF!="", E81=""),"",(E81-#REF!*J81)^H81*(I81+E81*L81))</f>
        <v>#REF!</v>
      </c>
      <c r="G81" s="713">
        <f>IF(E81="---","---", (E81-ABS(C81)*J81)^H81*(I81+E81*L81))</f>
        <v>4683.733866088226</v>
      </c>
      <c r="H81" s="202">
        <v>0.503</v>
      </c>
      <c r="I81" s="714">
        <v>264.99590000000001</v>
      </c>
      <c r="J81" s="56">
        <v>-7.4999999999999997E-2</v>
      </c>
      <c r="K81" s="56">
        <v>1</v>
      </c>
      <c r="L81" s="715">
        <v>0</v>
      </c>
      <c r="M81" s="203">
        <v>12</v>
      </c>
      <c r="N81" s="108" t="s">
        <v>100</v>
      </c>
      <c r="O81" s="108"/>
      <c r="P81" s="108"/>
      <c r="Q81" s="108"/>
      <c r="V81" s="30"/>
      <c r="W81" s="232"/>
      <c r="X81" s="716">
        <f>X80/X93-1</f>
        <v>7.0346825611728336E-2</v>
      </c>
      <c r="Y81" s="716">
        <f>Y80/Y93-1</f>
        <v>5.1415018698717674E-2</v>
      </c>
      <c r="Z81" s="716">
        <f>Z80/Z93-1</f>
        <v>3.8443838917434858E-2</v>
      </c>
    </row>
    <row r="82" spans="1:26" ht="15.75" customHeight="1" x14ac:dyDescent="0.25">
      <c r="A82" s="938"/>
      <c r="B82" s="46" t="s">
        <v>56</v>
      </c>
      <c r="C82" s="250">
        <v>25</v>
      </c>
      <c r="D82" s="254">
        <v>300</v>
      </c>
      <c r="E82" s="135">
        <f t="shared" ref="E82:E89" si="10">IF(OR(C82="",D82="", D82&lt;0),"---",        IF(AND(D82&gt;=M82,D82&gt;=ABS(C82)*K82),D82,"---"))</f>
        <v>300</v>
      </c>
      <c r="F82" s="15" t="e">
        <f>IF(OR(#REF!="", E82=""),"",(E82-#REF!*J82)^H82*(I82+E82*L82))</f>
        <v>#REF!</v>
      </c>
      <c r="G82" s="713">
        <f t="shared" ref="G82:G89" si="11">IF(E82="---","---", (E82-ABS(C82)*J82)^H82*(I82+E82*L82))</f>
        <v>3029.0520214958342</v>
      </c>
      <c r="H82" s="202">
        <v>0.5</v>
      </c>
      <c r="I82" s="714">
        <v>174.88239999999999</v>
      </c>
      <c r="J82" s="56">
        <v>0</v>
      </c>
      <c r="K82" s="56">
        <v>0.3</v>
      </c>
      <c r="L82" s="715">
        <v>0</v>
      </c>
      <c r="M82" s="203">
        <v>10</v>
      </c>
      <c r="N82" s="108" t="s">
        <v>100</v>
      </c>
      <c r="O82" s="108"/>
      <c r="P82" s="108"/>
      <c r="Q82" s="108"/>
      <c r="V82" s="30"/>
      <c r="W82" s="232"/>
      <c r="X82" s="232"/>
      <c r="Y82" s="232"/>
      <c r="Z82" s="232"/>
    </row>
    <row r="83" spans="1:26" ht="15.75" customHeight="1" x14ac:dyDescent="0.25">
      <c r="A83" s="938"/>
      <c r="B83" s="6" t="s">
        <v>57</v>
      </c>
      <c r="C83" s="250">
        <v>25</v>
      </c>
      <c r="D83" s="254">
        <v>300</v>
      </c>
      <c r="E83" s="135">
        <f t="shared" si="10"/>
        <v>300</v>
      </c>
      <c r="F83" s="15" t="e">
        <f>IF(OR(#REF!="", E83=""),"",(E83-#REF!*J83)^H83*(I83+E83*L83))</f>
        <v>#REF!</v>
      </c>
      <c r="G83" s="713">
        <f t="shared" si="11"/>
        <v>1444.0001540858641</v>
      </c>
      <c r="H83" s="202">
        <v>0.5</v>
      </c>
      <c r="I83" s="714">
        <v>78.5</v>
      </c>
      <c r="J83" s="56">
        <v>-0.02</v>
      </c>
      <c r="K83" s="56">
        <v>0.5</v>
      </c>
      <c r="L83" s="715">
        <v>1.6E-2</v>
      </c>
      <c r="M83" s="203">
        <v>10</v>
      </c>
      <c r="N83" s="108" t="s">
        <v>100</v>
      </c>
      <c r="O83" s="108"/>
      <c r="P83" s="108"/>
      <c r="Q83" s="108"/>
      <c r="V83" s="30"/>
      <c r="W83" s="232"/>
      <c r="X83" s="232"/>
      <c r="Y83" s="232"/>
      <c r="Z83" s="232"/>
    </row>
    <row r="84" spans="1:26" ht="15.75" customHeight="1" x14ac:dyDescent="0.25">
      <c r="A84" s="938"/>
      <c r="B84" s="6" t="s">
        <v>58</v>
      </c>
      <c r="C84" s="250">
        <v>25</v>
      </c>
      <c r="D84" s="254">
        <v>300</v>
      </c>
      <c r="E84" s="135">
        <f t="shared" si="10"/>
        <v>300</v>
      </c>
      <c r="F84" s="15" t="e">
        <f>IF(OR(#REF!="", E84=""),"",(E84-#REF!*J84)^H84*(I84+E84*L84))</f>
        <v>#REF!</v>
      </c>
      <c r="G84" s="713">
        <f t="shared" si="11"/>
        <v>1111.3147778720547</v>
      </c>
      <c r="H84" s="202">
        <v>0.505</v>
      </c>
      <c r="I84" s="714">
        <v>61.3</v>
      </c>
      <c r="J84" s="56">
        <v>5.3999999999999999E-2</v>
      </c>
      <c r="K84" s="56">
        <v>0.5</v>
      </c>
      <c r="L84" s="715">
        <v>4.0000000000000001E-3</v>
      </c>
      <c r="M84" s="203">
        <v>10</v>
      </c>
      <c r="N84" s="108" t="s">
        <v>100</v>
      </c>
      <c r="O84" s="108"/>
      <c r="P84" s="108"/>
      <c r="Q84" s="108"/>
      <c r="V84" s="30"/>
      <c r="W84" s="232"/>
      <c r="X84" s="232"/>
      <c r="Y84" s="232"/>
      <c r="Z84" s="232"/>
    </row>
    <row r="85" spans="1:26" ht="15.75" customHeight="1" x14ac:dyDescent="0.25">
      <c r="A85" s="938"/>
      <c r="B85" s="47" t="s">
        <v>59</v>
      </c>
      <c r="C85" s="250">
        <v>25</v>
      </c>
      <c r="D85" s="254">
        <v>300</v>
      </c>
      <c r="E85" s="135">
        <f t="shared" si="10"/>
        <v>300</v>
      </c>
      <c r="F85" s="15" t="e">
        <f>IF(OR(#REF!="", E85=""),"",(E85-#REF!*J85)^H85*(I85+E85*L85))</f>
        <v>#REF!</v>
      </c>
      <c r="G85" s="713">
        <f t="shared" si="11"/>
        <v>764.71793934550465</v>
      </c>
      <c r="H85" s="202">
        <v>0.50770000000000004</v>
      </c>
      <c r="I85" s="714">
        <v>42</v>
      </c>
      <c r="J85" s="56">
        <v>8.9999999999999993E-3</v>
      </c>
      <c r="K85" s="56">
        <v>0.5</v>
      </c>
      <c r="L85" s="715">
        <v>8.9999999999999998E-4</v>
      </c>
      <c r="M85" s="203">
        <v>10</v>
      </c>
      <c r="N85" s="108" t="s">
        <v>100</v>
      </c>
      <c r="O85" s="108"/>
      <c r="P85" s="108"/>
      <c r="Q85" s="108"/>
      <c r="V85" s="30"/>
      <c r="W85" s="232"/>
      <c r="X85" s="232"/>
      <c r="Y85" s="232"/>
      <c r="Z85" s="232"/>
    </row>
    <row r="86" spans="1:26" ht="15.75" customHeight="1" x14ac:dyDescent="0.25">
      <c r="A86" s="938"/>
      <c r="B86" s="6" t="s">
        <v>60</v>
      </c>
      <c r="C86" s="250">
        <v>25</v>
      </c>
      <c r="D86" s="254">
        <v>300</v>
      </c>
      <c r="E86" s="135">
        <f t="shared" si="10"/>
        <v>300</v>
      </c>
      <c r="F86" s="15" t="e">
        <f>IF(OR(#REF!="", E86=""),"",(E86-#REF!*J86)^H86*(I86+E86*L86))</f>
        <v>#REF!</v>
      </c>
      <c r="G86" s="713">
        <f t="shared" si="11"/>
        <v>419.25968409087056</v>
      </c>
      <c r="H86" s="202">
        <v>0.52</v>
      </c>
      <c r="I86" s="714">
        <v>22</v>
      </c>
      <c r="J86" s="56">
        <v>0.11</v>
      </c>
      <c r="K86" s="56">
        <v>0.5</v>
      </c>
      <c r="L86" s="715">
        <v>-1E-3</v>
      </c>
      <c r="M86" s="203">
        <v>10</v>
      </c>
      <c r="N86" s="108" t="s">
        <v>100</v>
      </c>
      <c r="O86" s="108"/>
      <c r="P86" s="108"/>
      <c r="Q86" s="108"/>
      <c r="V86" s="30"/>
      <c r="W86" s="232"/>
      <c r="X86" s="232"/>
      <c r="Y86" s="232"/>
      <c r="Z86" s="232"/>
    </row>
    <row r="87" spans="1:26" ht="15.75" customHeight="1" x14ac:dyDescent="0.25">
      <c r="A87" s="938"/>
      <c r="B87" s="6" t="s">
        <v>61</v>
      </c>
      <c r="C87" s="250">
        <v>25</v>
      </c>
      <c r="D87" s="254">
        <v>300</v>
      </c>
      <c r="E87" s="135">
        <f t="shared" si="10"/>
        <v>300</v>
      </c>
      <c r="F87" s="15" t="e">
        <f>IF(OR(#REF!="", E87=""),"",(E87-#REF!*J87)^H87*(I87+E87*L87))</f>
        <v>#REF!</v>
      </c>
      <c r="G87" s="713">
        <f t="shared" si="11"/>
        <v>250.26982014313322</v>
      </c>
      <c r="H87" s="202">
        <v>0.54100000000000004</v>
      </c>
      <c r="I87" s="714">
        <v>11.9239</v>
      </c>
      <c r="J87" s="56">
        <v>0.13</v>
      </c>
      <c r="K87" s="56">
        <v>0.4</v>
      </c>
      <c r="L87" s="715">
        <v>-1.4E-3</v>
      </c>
      <c r="M87" s="203">
        <v>10</v>
      </c>
      <c r="N87" s="108" t="s">
        <v>100</v>
      </c>
      <c r="O87" s="108"/>
      <c r="P87" s="108"/>
      <c r="Q87" s="108"/>
      <c r="V87" s="30"/>
      <c r="W87" s="232"/>
      <c r="X87" s="232"/>
      <c r="Y87" s="232"/>
      <c r="Z87" s="232"/>
    </row>
    <row r="88" spans="1:26" ht="15.75" customHeight="1" x14ac:dyDescent="0.25">
      <c r="A88" s="938"/>
      <c r="B88" s="6" t="s">
        <v>62</v>
      </c>
      <c r="C88" s="250">
        <v>25</v>
      </c>
      <c r="D88" s="254">
        <v>300</v>
      </c>
      <c r="E88" s="135">
        <f t="shared" si="10"/>
        <v>300</v>
      </c>
      <c r="F88" s="15" t="e">
        <f>IF(OR(#REF!="", E88=""),"",(E88-#REF!*J88)^H88*(I88+E88*L88))</f>
        <v>#REF!</v>
      </c>
      <c r="G88" s="713">
        <f t="shared" si="11"/>
        <v>65.196918819633595</v>
      </c>
      <c r="H88" s="202">
        <v>0.48</v>
      </c>
      <c r="I88" s="714">
        <v>4.0994999999999999</v>
      </c>
      <c r="J88" s="56">
        <v>3.0000000000000001E-3</v>
      </c>
      <c r="K88" s="56">
        <v>1</v>
      </c>
      <c r="L88" s="715">
        <v>4.0000000000000002E-4</v>
      </c>
      <c r="M88" s="203">
        <v>10</v>
      </c>
      <c r="N88" s="108" t="s">
        <v>100</v>
      </c>
      <c r="O88" s="108"/>
      <c r="P88" s="108"/>
      <c r="Q88" s="108"/>
      <c r="V88" s="30"/>
      <c r="W88" s="232"/>
      <c r="X88" s="232"/>
      <c r="Y88" s="232"/>
      <c r="Z88" s="232"/>
    </row>
    <row r="89" spans="1:26" ht="15.75" customHeight="1" x14ac:dyDescent="0.25">
      <c r="A89" s="938"/>
      <c r="B89" s="6" t="s">
        <v>63</v>
      </c>
      <c r="C89" s="250">
        <v>25</v>
      </c>
      <c r="D89" s="254">
        <v>300</v>
      </c>
      <c r="E89" s="135">
        <f t="shared" si="10"/>
        <v>300</v>
      </c>
      <c r="F89" s="15" t="e">
        <f>IF(OR(#REF!="", E89=""),"",(E89-#REF!*J89)^H89*(I89+E89*L89))</f>
        <v>#REF!</v>
      </c>
      <c r="G89" s="713">
        <f t="shared" si="11"/>
        <v>36.751828474260371</v>
      </c>
      <c r="H89" s="202">
        <v>0.502</v>
      </c>
      <c r="I89" s="714">
        <v>2.0678000000000001</v>
      </c>
      <c r="J89" s="56">
        <v>0</v>
      </c>
      <c r="K89" s="56">
        <v>0.5</v>
      </c>
      <c r="L89" s="715">
        <v>1E-4</v>
      </c>
      <c r="M89" s="203">
        <v>10</v>
      </c>
      <c r="N89" s="108" t="s">
        <v>100</v>
      </c>
      <c r="O89" s="108"/>
      <c r="P89" s="108"/>
      <c r="Q89" s="108"/>
      <c r="V89" s="30"/>
      <c r="W89" s="232"/>
      <c r="X89" s="232"/>
      <c r="Y89" s="232"/>
      <c r="Z89" s="232"/>
    </row>
    <row r="90" spans="1:26" ht="15.75" customHeight="1" thickBot="1" x14ac:dyDescent="0.3">
      <c r="A90" s="939"/>
      <c r="B90" s="7" t="s">
        <v>64</v>
      </c>
      <c r="C90" s="256">
        <v>25</v>
      </c>
      <c r="D90" s="257">
        <v>300</v>
      </c>
      <c r="E90" s="136">
        <f>IF(OR(C90="",D90="", D90&lt;0),"---",        IF(AND(D90&gt;=M90,D90&gt;=ABS(C90)*K90),D90,"---"))</f>
        <v>300</v>
      </c>
      <c r="F90" s="130" t="e">
        <f>IF(OR(#REF!="", E90=""),"",(E90-#REF!*J90)^H90*(I90+E90*L90))</f>
        <v>#REF!</v>
      </c>
      <c r="G90" s="717">
        <f>IF(E90="---","---", (E90-ABS(C90)*J90)^H90*(I90+E90*L90))</f>
        <v>19.690190981459779</v>
      </c>
      <c r="H90" s="718">
        <v>0.49249999999999999</v>
      </c>
      <c r="I90" s="719">
        <v>1.1614</v>
      </c>
      <c r="J90" s="183">
        <v>0.1</v>
      </c>
      <c r="K90" s="183">
        <v>0.5</v>
      </c>
      <c r="L90" s="720">
        <v>1E-4</v>
      </c>
      <c r="M90" s="209">
        <v>10</v>
      </c>
      <c r="N90" s="108" t="s">
        <v>100</v>
      </c>
      <c r="O90" s="108"/>
      <c r="P90" s="108"/>
      <c r="Q90" s="108"/>
      <c r="V90" s="30"/>
      <c r="W90" s="232"/>
      <c r="X90" s="232"/>
      <c r="Y90" s="232"/>
      <c r="Z90" s="232"/>
    </row>
    <row r="91" spans="1:26" ht="15.75" customHeight="1" thickBot="1" x14ac:dyDescent="0.3">
      <c r="A91" s="721"/>
      <c r="B91" s="6"/>
      <c r="C91" s="142"/>
      <c r="D91" s="143"/>
      <c r="E91" s="722"/>
      <c r="F91" s="157"/>
      <c r="G91" s="723"/>
      <c r="H91" s="724"/>
      <c r="I91" s="725"/>
      <c r="J91" s="726"/>
      <c r="K91" s="726"/>
      <c r="L91" s="727"/>
      <c r="M91" s="728"/>
      <c r="N91" s="72"/>
      <c r="O91" s="72"/>
      <c r="P91" s="72"/>
      <c r="Q91" s="729"/>
      <c r="R91" s="30"/>
      <c r="S91" s="30"/>
      <c r="T91" s="30"/>
      <c r="U91" s="30"/>
      <c r="V91" s="30"/>
      <c r="W91" s="232"/>
      <c r="X91" s="232"/>
      <c r="Y91" s="232"/>
      <c r="Z91" s="232"/>
    </row>
    <row r="92" spans="1:26" ht="50.25" customHeight="1" thickBot="1" x14ac:dyDescent="0.35">
      <c r="A92" s="730"/>
      <c r="B92" s="731"/>
      <c r="C92" s="732"/>
      <c r="D92" s="733"/>
      <c r="E92" s="734"/>
      <c r="F92" s="735"/>
      <c r="G92" s="736"/>
      <c r="H92" s="708" t="s">
        <v>1</v>
      </c>
      <c r="I92" s="709" t="s">
        <v>0</v>
      </c>
      <c r="J92" s="709" t="s">
        <v>19</v>
      </c>
      <c r="K92" s="709" t="s">
        <v>20</v>
      </c>
      <c r="L92" s="709" t="s">
        <v>21</v>
      </c>
      <c r="M92" s="709" t="s">
        <v>22</v>
      </c>
      <c r="N92" s="709" t="s">
        <v>23</v>
      </c>
      <c r="O92" s="709" t="s">
        <v>24</v>
      </c>
      <c r="P92" s="709" t="s">
        <v>25</v>
      </c>
      <c r="Q92" s="710" t="s">
        <v>6</v>
      </c>
      <c r="R92" s="30"/>
      <c r="S92" s="30"/>
      <c r="T92" s="30"/>
      <c r="U92" s="30"/>
      <c r="V92" s="30"/>
      <c r="W92" s="232"/>
      <c r="X92" s="232"/>
      <c r="Y92" s="232"/>
      <c r="Z92" s="232"/>
    </row>
    <row r="93" spans="1:26" ht="15.75" customHeight="1" x14ac:dyDescent="0.25">
      <c r="A93" s="938">
        <v>5000</v>
      </c>
      <c r="B93" s="6" t="s">
        <v>4</v>
      </c>
      <c r="C93" s="746">
        <v>-50</v>
      </c>
      <c r="D93" s="747"/>
      <c r="E93" s="135" t="str">
        <f>IF(OR(C93="",D93="",D93&lt;0),"",        IF(AND(C93&lt;=0,D93&gt;=Q93, D93&gt;=ABS(C93)*P93),D93,         IF(AND(C93&gt;0, (ABS(D93)-C93)&gt;=Q93, (ABS(D93)-C93)&gt;=ABS(C93)*P93),(ABS(D93)-C93),"---")))</f>
        <v/>
      </c>
      <c r="F93" s="15" t="e">
        <f>IF(OR(#REF!="", E93=""),"",E93^H93*I93)</f>
        <v>#REF!</v>
      </c>
      <c r="G93" s="713" t="e">
        <f>IF(E93="---","---", E93^H93*I93)</f>
        <v>#VALUE!</v>
      </c>
      <c r="H93" s="202">
        <v>0.498</v>
      </c>
      <c r="I93" s="714">
        <v>548</v>
      </c>
      <c r="J93" s="56"/>
      <c r="K93" s="56"/>
      <c r="L93" s="715"/>
      <c r="M93" s="737"/>
      <c r="N93" s="737"/>
      <c r="O93" s="737"/>
      <c r="P93" s="738">
        <v>0.3</v>
      </c>
      <c r="Q93" s="178">
        <v>10</v>
      </c>
      <c r="R93" s="108" t="s">
        <v>42</v>
      </c>
      <c r="S93" s="108"/>
      <c r="T93" s="108"/>
      <c r="U93" s="108"/>
      <c r="V93" s="30"/>
      <c r="W93" s="232" t="e">
        <f>G93</f>
        <v>#VALUE!</v>
      </c>
      <c r="X93" s="232">
        <v>3440.380157273034</v>
      </c>
      <c r="Y93" s="232">
        <v>5429.759058012366</v>
      </c>
      <c r="Z93" s="232">
        <v>7276.2274444268414</v>
      </c>
    </row>
    <row r="94" spans="1:26" ht="17.25" customHeight="1" x14ac:dyDescent="0.25">
      <c r="A94" s="938"/>
      <c r="B94" s="47" t="s">
        <v>11</v>
      </c>
      <c r="C94" s="746">
        <v>-50</v>
      </c>
      <c r="D94" s="747">
        <v>70</v>
      </c>
      <c r="E94" s="135">
        <f t="shared" ref="E94:E111" si="12">IF(OR(C94="",D94="",D94&lt;0),"",        IF(AND(C94&lt;=0,D94&gt;=Q94, D94&gt;=ABS(C94)*P94),D94,         IF(AND(C94&gt;0, (ABS(D94)-C94)&gt;=Q94, (ABS(D94)-C94)&gt;=ABS(C94)*P94),(ABS(D94)-C94),"---")))</f>
        <v>70</v>
      </c>
      <c r="F94" s="15" t="e">
        <f>IF(OR(#REF!="", E94=""),"",E94^H94*I94)</f>
        <v>#REF!</v>
      </c>
      <c r="G94" s="119">
        <f>IF(E94="---","---", E94^H94*I94)</f>
        <v>2421.7042994947033</v>
      </c>
      <c r="H94" s="200">
        <v>0.502</v>
      </c>
      <c r="I94" s="59">
        <v>287</v>
      </c>
      <c r="J94" s="5"/>
      <c r="K94" s="5"/>
      <c r="L94" s="36"/>
      <c r="M94" s="60"/>
      <c r="N94" s="60"/>
      <c r="O94" s="60"/>
      <c r="P94" s="65">
        <v>0.4</v>
      </c>
      <c r="Q94" s="37">
        <v>20</v>
      </c>
      <c r="R94" s="108" t="s">
        <v>42</v>
      </c>
      <c r="S94" s="108"/>
      <c r="T94" s="108"/>
      <c r="U94" s="108"/>
      <c r="V94" s="30"/>
      <c r="W94" s="232"/>
      <c r="X94" s="232"/>
      <c r="Y94" s="232"/>
      <c r="Z94" s="232"/>
    </row>
    <row r="95" spans="1:26" ht="17.25" customHeight="1" x14ac:dyDescent="0.25">
      <c r="A95" s="938"/>
      <c r="B95" s="46" t="s">
        <v>12</v>
      </c>
      <c r="C95" s="746">
        <v>50</v>
      </c>
      <c r="D95" s="747">
        <v>160</v>
      </c>
      <c r="E95" s="135">
        <f t="shared" si="12"/>
        <v>110</v>
      </c>
      <c r="F95" s="15" t="e">
        <f>IF(OR(#REF!="", E95=""),"",E95^H95*I95)</f>
        <v>#REF!</v>
      </c>
      <c r="G95" s="119">
        <f>IF(E95="---","---", E95^H95*I95)</f>
        <v>1433.4754537698477</v>
      </c>
      <c r="H95" s="200">
        <v>0.54</v>
      </c>
      <c r="I95" s="9">
        <v>113.25</v>
      </c>
      <c r="J95" s="5"/>
      <c r="K95" s="5"/>
      <c r="L95" s="36"/>
      <c r="M95" s="60"/>
      <c r="N95" s="60"/>
      <c r="O95" s="60"/>
      <c r="P95" s="65">
        <v>0.7</v>
      </c>
      <c r="Q95" s="37">
        <v>40</v>
      </c>
      <c r="R95" s="108" t="s">
        <v>42</v>
      </c>
      <c r="S95" s="108"/>
      <c r="T95" s="108"/>
      <c r="U95" s="108"/>
      <c r="V95" s="30"/>
      <c r="W95" s="232"/>
      <c r="X95" s="232"/>
      <c r="Y95" s="232"/>
      <c r="Z95" s="232"/>
    </row>
    <row r="96" spans="1:26" ht="17.25" customHeight="1" x14ac:dyDescent="0.25">
      <c r="A96" s="938"/>
      <c r="B96" s="6" t="s">
        <v>13</v>
      </c>
      <c r="C96" s="746">
        <v>-50</v>
      </c>
      <c r="D96" s="747">
        <v>160</v>
      </c>
      <c r="E96" s="135">
        <f t="shared" si="12"/>
        <v>160</v>
      </c>
      <c r="F96" s="15" t="e">
        <f>IF(OR(#REF!="", E96=""),"",E96^3*L96+E96^2*M96+E96*N96+O96+(J96-#REF!)*K96)</f>
        <v>#REF!</v>
      </c>
      <c r="G96" s="119">
        <f t="shared" ref="G96:G101" si="13">IF(E96="---","---", E96^3*L96+E96^2*M96+E96*N96+O96+(J96-ABS(C96))*K96)</f>
        <v>805.33889448036132</v>
      </c>
      <c r="H96" s="207"/>
      <c r="I96" s="8"/>
      <c r="J96" s="5">
        <v>29</v>
      </c>
      <c r="K96" s="9">
        <v>-0.19</v>
      </c>
      <c r="L96" s="84">
        <v>7.942601191494451E-6</v>
      </c>
      <c r="M96" s="85">
        <v>-8.6400000000000001E-3</v>
      </c>
      <c r="N96" s="86">
        <v>4.9000000000000004</v>
      </c>
      <c r="O96" s="60">
        <v>206</v>
      </c>
      <c r="P96" s="65">
        <v>0.8</v>
      </c>
      <c r="Q96" s="37">
        <v>25</v>
      </c>
      <c r="R96" s="109" t="s">
        <v>41</v>
      </c>
      <c r="S96" s="108"/>
      <c r="T96" s="108"/>
      <c r="U96" s="108"/>
      <c r="V96" s="30"/>
      <c r="W96" s="232"/>
      <c r="X96" s="232"/>
      <c r="Y96" s="232"/>
      <c r="Z96" s="232"/>
    </row>
    <row r="97" spans="1:26" ht="17.25" customHeight="1" x14ac:dyDescent="0.25">
      <c r="A97" s="938"/>
      <c r="B97" s="6" t="s">
        <v>14</v>
      </c>
      <c r="C97" s="746">
        <v>-50</v>
      </c>
      <c r="D97" s="747">
        <v>160</v>
      </c>
      <c r="E97" s="135">
        <f t="shared" si="12"/>
        <v>160</v>
      </c>
      <c r="F97" s="15" t="e">
        <f>IF(OR(#REF!="", E97=""),"",E97^3*L97+E97^2*M97+E97*N97+O97+(J97-#REF!)*K97)</f>
        <v>#REF!</v>
      </c>
      <c r="G97" s="119">
        <f t="shared" si="13"/>
        <v>361.36448000000001</v>
      </c>
      <c r="H97" s="207"/>
      <c r="I97" s="4"/>
      <c r="J97" s="5">
        <v>30</v>
      </c>
      <c r="K97" s="9">
        <v>0.1</v>
      </c>
      <c r="L97" s="84">
        <v>8.8000000000000004E-7</v>
      </c>
      <c r="M97" s="85">
        <v>-2.8999999999999998E-3</v>
      </c>
      <c r="N97" s="86">
        <v>2.15</v>
      </c>
      <c r="O97" s="60">
        <v>90</v>
      </c>
      <c r="P97" s="65">
        <v>1</v>
      </c>
      <c r="Q97" s="37">
        <v>30</v>
      </c>
      <c r="R97" s="109" t="s">
        <v>41</v>
      </c>
      <c r="S97" s="108"/>
      <c r="T97" s="108"/>
      <c r="U97" s="108"/>
      <c r="V97" s="30"/>
      <c r="W97" s="232"/>
      <c r="X97" s="232"/>
      <c r="Y97" s="232"/>
      <c r="Z97" s="232"/>
    </row>
    <row r="98" spans="1:26" ht="17.25" customHeight="1" x14ac:dyDescent="0.25">
      <c r="A98" s="938"/>
      <c r="B98" s="47" t="s">
        <v>15</v>
      </c>
      <c r="C98" s="746">
        <v>-50</v>
      </c>
      <c r="D98" s="747">
        <v>160</v>
      </c>
      <c r="E98" s="135">
        <f t="shared" si="12"/>
        <v>160</v>
      </c>
      <c r="F98" s="15" t="e">
        <f>IF(OR(#REF!="", E98=""),"",E98^3*L98+E98^2*M98+E98*N98+O98+(J98-#REF!)*K98)</f>
        <v>#REF!</v>
      </c>
      <c r="G98" s="119">
        <f t="shared" si="13"/>
        <v>186.48</v>
      </c>
      <c r="H98" s="207"/>
      <c r="I98" s="4"/>
      <c r="J98" s="5">
        <v>30</v>
      </c>
      <c r="K98" s="9">
        <v>0</v>
      </c>
      <c r="L98" s="84">
        <v>4.9999999999999998E-7</v>
      </c>
      <c r="M98" s="60">
        <v>-1.2800000000000001E-3</v>
      </c>
      <c r="N98" s="87">
        <v>1.02</v>
      </c>
      <c r="O98" s="60">
        <v>54</v>
      </c>
      <c r="P98" s="65">
        <v>1</v>
      </c>
      <c r="Q98" s="37">
        <v>30</v>
      </c>
      <c r="R98" s="109" t="s">
        <v>41</v>
      </c>
      <c r="S98" s="108"/>
      <c r="T98" s="108"/>
      <c r="U98" s="108"/>
      <c r="V98" s="30"/>
      <c r="W98" s="232"/>
      <c r="X98" s="232"/>
      <c r="Y98" s="232"/>
      <c r="Z98" s="232"/>
    </row>
    <row r="99" spans="1:26" ht="17.25" customHeight="1" x14ac:dyDescent="0.25">
      <c r="A99" s="938"/>
      <c r="B99" s="6" t="s">
        <v>16</v>
      </c>
      <c r="C99" s="746">
        <v>-50</v>
      </c>
      <c r="D99" s="747">
        <v>160</v>
      </c>
      <c r="E99" s="135">
        <f t="shared" si="12"/>
        <v>160</v>
      </c>
      <c r="F99" s="15" t="e">
        <f>IF(OR(#REF!="", E99=""),"",E99^3*L99+E99^2*M99+E99*N99+O99+(J99-#REF!)*K99)</f>
        <v>#REF!</v>
      </c>
      <c r="G99" s="119">
        <f t="shared" si="13"/>
        <v>87.712855999999988</v>
      </c>
      <c r="H99" s="207"/>
      <c r="I99" s="42"/>
      <c r="J99" s="5">
        <v>25</v>
      </c>
      <c r="K99" s="9">
        <v>0.14499999999999999</v>
      </c>
      <c r="L99" s="84">
        <v>7.9599999999999998E-7</v>
      </c>
      <c r="M99" s="85">
        <v>-9.5009999999999995E-4</v>
      </c>
      <c r="N99" s="87">
        <v>0.59</v>
      </c>
      <c r="O99" s="60">
        <v>18</v>
      </c>
      <c r="P99" s="65">
        <v>0.8</v>
      </c>
      <c r="Q99" s="37">
        <v>35</v>
      </c>
      <c r="R99" s="109" t="s">
        <v>41</v>
      </c>
      <c r="S99" s="108"/>
      <c r="T99" s="108"/>
      <c r="U99" s="108"/>
      <c r="V99" s="30"/>
      <c r="W99" s="232"/>
      <c r="X99" s="232"/>
      <c r="Y99" s="232"/>
      <c r="Z99" s="232"/>
    </row>
    <row r="100" spans="1:26" ht="17.25" customHeight="1" x14ac:dyDescent="0.25">
      <c r="A100" s="938"/>
      <c r="B100" s="6" t="s">
        <v>17</v>
      </c>
      <c r="C100" s="746">
        <v>-50</v>
      </c>
      <c r="D100" s="747">
        <v>160</v>
      </c>
      <c r="E100" s="135">
        <f t="shared" si="12"/>
        <v>160</v>
      </c>
      <c r="F100" s="15" t="e">
        <f>IF(OR(#REF!="", E100=""),"",E100^3*L100+E100^2*M100+E100*N100+O100+(J100-#REF!)*K100)</f>
        <v>#REF!</v>
      </c>
      <c r="G100" s="119">
        <f t="shared" si="13"/>
        <v>40.670194062098972</v>
      </c>
      <c r="H100" s="207"/>
      <c r="I100" s="42"/>
      <c r="J100" s="5">
        <v>25</v>
      </c>
      <c r="K100" s="9">
        <v>0.09</v>
      </c>
      <c r="L100" s="84">
        <v>2.6904318197461721E-7</v>
      </c>
      <c r="M100" s="219">
        <v>-3.5905495356519798E-4</v>
      </c>
      <c r="N100" s="87">
        <v>0.24349999999999999</v>
      </c>
      <c r="O100" s="60">
        <v>12.05</v>
      </c>
      <c r="P100" s="65">
        <v>1</v>
      </c>
      <c r="Q100" s="37">
        <v>50</v>
      </c>
      <c r="R100" s="109" t="s">
        <v>41</v>
      </c>
      <c r="S100" s="108"/>
      <c r="T100" s="108"/>
      <c r="U100" s="108"/>
      <c r="V100" s="30"/>
      <c r="W100" s="232"/>
      <c r="X100" s="232"/>
      <c r="Y100" s="232"/>
      <c r="Z100" s="232"/>
    </row>
    <row r="101" spans="1:26" ht="18" customHeight="1" thickBot="1" x14ac:dyDescent="0.3">
      <c r="A101" s="939"/>
      <c r="B101" s="7" t="s">
        <v>18</v>
      </c>
      <c r="C101" s="746">
        <v>-50</v>
      </c>
      <c r="D101" s="747">
        <v>160</v>
      </c>
      <c r="E101" s="136">
        <f t="shared" si="12"/>
        <v>160</v>
      </c>
      <c r="F101" s="130" t="e">
        <f>IF(OR(#REF!="", E101=""),"",E101^3*L101+E101^2*M101+E101*N101+O101+(J101-#REF!)*K101)</f>
        <v>#REF!</v>
      </c>
      <c r="G101" s="123">
        <f t="shared" si="13"/>
        <v>16.260255999999998</v>
      </c>
      <c r="H101" s="648"/>
      <c r="I101" s="38"/>
      <c r="J101" s="19">
        <v>25</v>
      </c>
      <c r="K101" s="88">
        <v>-0.02</v>
      </c>
      <c r="L101" s="89">
        <v>1.11E-7</v>
      </c>
      <c r="M101" s="220">
        <v>-1.4899999999999999E-4</v>
      </c>
      <c r="N101" s="221">
        <v>9.1999999999999998E-2</v>
      </c>
      <c r="O101" s="63">
        <v>4.4000000000000004</v>
      </c>
      <c r="P101" s="66">
        <v>0.6</v>
      </c>
      <c r="Q101" s="40">
        <v>50</v>
      </c>
      <c r="R101" s="109" t="s">
        <v>41</v>
      </c>
      <c r="S101" s="108"/>
      <c r="T101" s="108"/>
      <c r="U101" s="108"/>
      <c r="V101" s="30"/>
      <c r="W101" s="232"/>
      <c r="X101" s="232"/>
      <c r="Y101" s="232"/>
      <c r="Z101" s="232"/>
    </row>
    <row r="102" spans="1:26" ht="14.25" customHeight="1" thickBot="1" x14ac:dyDescent="0.3">
      <c r="A102" s="33"/>
      <c r="B102" s="6"/>
      <c r="C102" s="142"/>
      <c r="D102" s="143"/>
      <c r="E102" s="131" t="str">
        <f t="shared" si="12"/>
        <v/>
      </c>
      <c r="F102" s="15" t="e">
        <f>IF(OR(#REF!="", E102=""),"",E102^3*L102+E102^2*M102+E102*N102+O102+(J102-#REF!)*K102)</f>
        <v>#REF!</v>
      </c>
      <c r="G102" s="739"/>
      <c r="H102" s="70"/>
      <c r="I102" s="71"/>
      <c r="J102" s="69"/>
      <c r="K102" s="69"/>
      <c r="L102" s="69"/>
      <c r="M102" s="72"/>
      <c r="N102" s="72"/>
      <c r="O102" s="72"/>
      <c r="P102" s="72"/>
      <c r="Q102" s="125"/>
      <c r="V102" s="30"/>
      <c r="W102" s="232"/>
      <c r="X102" s="232"/>
      <c r="Y102" s="232"/>
      <c r="Z102" s="232"/>
    </row>
    <row r="103" spans="1:26" ht="17.25" x14ac:dyDescent="0.25">
      <c r="A103" s="937">
        <v>6000</v>
      </c>
      <c r="B103" s="44" t="s">
        <v>4</v>
      </c>
      <c r="C103" s="746">
        <v>-50</v>
      </c>
      <c r="D103" s="747"/>
      <c r="E103" s="134" t="str">
        <f t="shared" si="12"/>
        <v/>
      </c>
      <c r="F103" s="13" t="e">
        <f>IF(OR(#REF!="", E103=""),"",E103^H103*I103)</f>
        <v>#REF!</v>
      </c>
      <c r="G103" s="118" t="e">
        <f>IF(E103="---","---", E103^H103*I103)</f>
        <v>#VALUE!</v>
      </c>
      <c r="H103" s="124">
        <v>0.498</v>
      </c>
      <c r="I103" s="61">
        <v>548</v>
      </c>
      <c r="J103" s="16"/>
      <c r="K103" s="16"/>
      <c r="L103" s="34"/>
      <c r="M103" s="62"/>
      <c r="N103" s="62"/>
      <c r="O103" s="62"/>
      <c r="P103" s="64">
        <v>0.5</v>
      </c>
      <c r="Q103" s="35">
        <v>25</v>
      </c>
      <c r="R103" s="108" t="s">
        <v>42</v>
      </c>
      <c r="S103" s="108"/>
      <c r="T103" s="108"/>
      <c r="U103" s="108"/>
      <c r="V103" s="30"/>
      <c r="W103" s="232" t="e">
        <f>G103</f>
        <v>#VALUE!</v>
      </c>
      <c r="X103" s="232">
        <v>3440.380157273034</v>
      </c>
      <c r="Y103" s="232">
        <v>5429.759058012366</v>
      </c>
      <c r="Z103" s="232">
        <v>7276.2274444268414</v>
      </c>
    </row>
    <row r="104" spans="1:26" ht="17.25" x14ac:dyDescent="0.25">
      <c r="A104" s="938"/>
      <c r="B104" s="47" t="s">
        <v>11</v>
      </c>
      <c r="C104" s="746">
        <v>50</v>
      </c>
      <c r="D104" s="747">
        <v>160</v>
      </c>
      <c r="E104" s="135">
        <f t="shared" si="12"/>
        <v>110</v>
      </c>
      <c r="F104" s="15" t="e">
        <f>IF(OR(#REF!="", E104=""),"",E104^H104*I104)</f>
        <v>#REF!</v>
      </c>
      <c r="G104" s="119">
        <f>IF(E104="---","---", E104^H104*I104)</f>
        <v>3038.5124816124112</v>
      </c>
      <c r="H104" s="113">
        <v>0.502</v>
      </c>
      <c r="I104" s="59">
        <v>287</v>
      </c>
      <c r="J104" s="5"/>
      <c r="K104" s="5"/>
      <c r="L104" s="36"/>
      <c r="M104" s="60"/>
      <c r="N104" s="60"/>
      <c r="O104" s="60"/>
      <c r="P104" s="65">
        <v>0.5</v>
      </c>
      <c r="Q104" s="37">
        <v>25</v>
      </c>
      <c r="R104" s="108" t="s">
        <v>42</v>
      </c>
      <c r="S104" s="108"/>
      <c r="T104" s="108"/>
      <c r="U104" s="108"/>
      <c r="V104" s="30"/>
    </row>
    <row r="105" spans="1:26" ht="17.25" x14ac:dyDescent="0.25">
      <c r="A105" s="938"/>
      <c r="B105" s="46" t="s">
        <v>12</v>
      </c>
      <c r="C105" s="746">
        <v>50</v>
      </c>
      <c r="D105" s="747">
        <v>160</v>
      </c>
      <c r="E105" s="135">
        <f t="shared" si="12"/>
        <v>110</v>
      </c>
      <c r="F105" s="15" t="e">
        <f>IF(OR(#REF!="", E105=""),"",E105^H105*I105)</f>
        <v>#REF!</v>
      </c>
      <c r="G105" s="119">
        <f>IF(E105="---","---", E105^H105*I105)</f>
        <v>1433.4754537698477</v>
      </c>
      <c r="H105" s="113">
        <v>0.54</v>
      </c>
      <c r="I105" s="9">
        <v>113.25</v>
      </c>
      <c r="J105" s="5"/>
      <c r="K105" s="5"/>
      <c r="L105" s="36"/>
      <c r="M105" s="60"/>
      <c r="N105" s="60"/>
      <c r="O105" s="60"/>
      <c r="P105" s="65">
        <v>0.8</v>
      </c>
      <c r="Q105" s="37">
        <v>40</v>
      </c>
      <c r="R105" s="108" t="s">
        <v>42</v>
      </c>
      <c r="S105" s="108"/>
      <c r="T105" s="108"/>
      <c r="U105" s="108"/>
      <c r="V105" s="30"/>
    </row>
    <row r="106" spans="1:26" ht="17.25" x14ac:dyDescent="0.25">
      <c r="A106" s="938"/>
      <c r="B106" s="6" t="s">
        <v>13</v>
      </c>
      <c r="C106" s="746">
        <v>-50</v>
      </c>
      <c r="D106" s="747">
        <v>160</v>
      </c>
      <c r="E106" s="135">
        <f t="shared" si="12"/>
        <v>160</v>
      </c>
      <c r="F106" s="15" t="e">
        <f>IF(OR(#REF!="", E106=""),"",E106^3*L106+E106^2*M106+E106*N106+O106+(J106-#REF!)*K106)</f>
        <v>#REF!</v>
      </c>
      <c r="G106" s="119">
        <f t="shared" ref="G106:G111" si="14">IF(E106="---","---", E106^3*L106+E106^2*M106+E106*N106+O106+(J106-ABS(C106))*K106)</f>
        <v>757.43552</v>
      </c>
      <c r="H106" s="122"/>
      <c r="I106" s="8"/>
      <c r="J106" s="5">
        <v>0</v>
      </c>
      <c r="K106" s="9">
        <v>0.7</v>
      </c>
      <c r="L106" s="84">
        <v>6.6200000000000001E-6</v>
      </c>
      <c r="M106" s="85">
        <v>-7.7999999999999996E-3</v>
      </c>
      <c r="N106" s="86">
        <v>4.75</v>
      </c>
      <c r="O106" s="60">
        <v>205</v>
      </c>
      <c r="P106" s="65">
        <v>0.8</v>
      </c>
      <c r="Q106" s="37">
        <v>25</v>
      </c>
      <c r="R106" s="109" t="s">
        <v>41</v>
      </c>
      <c r="S106" s="108"/>
      <c r="T106" s="108"/>
      <c r="U106" s="108"/>
      <c r="V106" s="30"/>
    </row>
    <row r="107" spans="1:26" ht="17.25" x14ac:dyDescent="0.25">
      <c r="A107" s="938"/>
      <c r="B107" s="6" t="s">
        <v>14</v>
      </c>
      <c r="C107" s="746">
        <v>-50</v>
      </c>
      <c r="D107" s="747">
        <v>160</v>
      </c>
      <c r="E107" s="135">
        <f t="shared" si="12"/>
        <v>160</v>
      </c>
      <c r="F107" s="15" t="e">
        <f>IF(OR(#REF!="", E107=""),"",E107^3*L107+E107^2*M107+E107*N107+O107+(J107-#REF!)*K107)</f>
        <v>#REF!</v>
      </c>
      <c r="G107" s="119">
        <f t="shared" si="14"/>
        <v>310.06799999999998</v>
      </c>
      <c r="H107" s="122"/>
      <c r="I107" s="4"/>
      <c r="J107" s="5">
        <v>40</v>
      </c>
      <c r="K107" s="9">
        <v>0.85</v>
      </c>
      <c r="L107" s="84">
        <v>3.0000000000000001E-6</v>
      </c>
      <c r="M107" s="85">
        <v>-3.7000000000000002E-3</v>
      </c>
      <c r="N107" s="86">
        <v>2.2000000000000002</v>
      </c>
      <c r="O107" s="60">
        <v>49</v>
      </c>
      <c r="P107" s="65">
        <v>1</v>
      </c>
      <c r="Q107" s="37">
        <v>30</v>
      </c>
      <c r="R107" s="109" t="s">
        <v>41</v>
      </c>
      <c r="S107" s="108"/>
      <c r="T107" s="108"/>
      <c r="U107" s="108"/>
      <c r="V107" s="30"/>
    </row>
    <row r="108" spans="1:26" ht="17.25" x14ac:dyDescent="0.25">
      <c r="A108" s="938"/>
      <c r="B108" s="47" t="s">
        <v>15</v>
      </c>
      <c r="C108" s="746">
        <v>-50</v>
      </c>
      <c r="D108" s="747">
        <v>160</v>
      </c>
      <c r="E108" s="135">
        <f t="shared" si="12"/>
        <v>160</v>
      </c>
      <c r="F108" s="15" t="e">
        <f>IF(OR(#REF!="", E108=""),"",E108^3*L108+E108^2*M108+E108*N108+O108+(J108-#REF!)*K108)</f>
        <v>#REF!</v>
      </c>
      <c r="G108" s="119">
        <f t="shared" si="14"/>
        <v>160.38256000000001</v>
      </c>
      <c r="H108" s="122"/>
      <c r="I108" s="4"/>
      <c r="J108" s="5">
        <v>65</v>
      </c>
      <c r="K108" s="9">
        <v>0.2</v>
      </c>
      <c r="L108" s="84">
        <v>1.06E-6</v>
      </c>
      <c r="M108" s="60">
        <v>-1.382E-3</v>
      </c>
      <c r="N108" s="87">
        <v>0.93700000000000006</v>
      </c>
      <c r="O108" s="60">
        <v>38.5</v>
      </c>
      <c r="P108" s="65">
        <v>1</v>
      </c>
      <c r="Q108" s="37">
        <v>30</v>
      </c>
      <c r="R108" s="109" t="s">
        <v>41</v>
      </c>
      <c r="S108" s="108"/>
      <c r="T108" s="108"/>
      <c r="U108" s="108"/>
      <c r="V108" s="30"/>
    </row>
    <row r="109" spans="1:26" ht="17.25" x14ac:dyDescent="0.25">
      <c r="A109" s="938"/>
      <c r="B109" s="6" t="s">
        <v>16</v>
      </c>
      <c r="C109" s="746">
        <v>-50</v>
      </c>
      <c r="D109" s="747">
        <v>160</v>
      </c>
      <c r="E109" s="135">
        <f t="shared" si="12"/>
        <v>160</v>
      </c>
      <c r="F109" s="15" t="e">
        <f>IF(OR(#REF!="", E109=""),"",E109^3*L109+E109^2*M109+E109*N109+O109+(J109-#REF!)*K109)</f>
        <v>#REF!</v>
      </c>
      <c r="G109" s="119">
        <f t="shared" si="14"/>
        <v>87.712855999999988</v>
      </c>
      <c r="H109" s="122"/>
      <c r="I109" s="42"/>
      <c r="J109" s="5">
        <v>25</v>
      </c>
      <c r="K109" s="9">
        <v>0.14499999999999999</v>
      </c>
      <c r="L109" s="84">
        <v>7.9599999999999998E-7</v>
      </c>
      <c r="M109" s="85">
        <v>-9.5009999999999995E-4</v>
      </c>
      <c r="N109" s="87">
        <v>0.59</v>
      </c>
      <c r="O109" s="60">
        <v>18</v>
      </c>
      <c r="P109" s="65">
        <v>0.8</v>
      </c>
      <c r="Q109" s="37">
        <v>35</v>
      </c>
      <c r="R109" s="109" t="s">
        <v>41</v>
      </c>
      <c r="S109" s="108"/>
      <c r="T109" s="108"/>
      <c r="U109" s="108"/>
      <c r="V109" s="30"/>
    </row>
    <row r="110" spans="1:26" ht="17.25" x14ac:dyDescent="0.25">
      <c r="A110" s="938"/>
      <c r="B110" s="6" t="s">
        <v>17</v>
      </c>
      <c r="C110" s="746">
        <v>-50</v>
      </c>
      <c r="D110" s="747">
        <v>160</v>
      </c>
      <c r="E110" s="135">
        <f t="shared" si="12"/>
        <v>160</v>
      </c>
      <c r="F110" s="15" t="e">
        <f>IF(OR(#REF!="", E110=""),"",E110^3*L110+E110^2*M110+E110*N110+O110+(J110-#REF!)*K110)</f>
        <v>#REF!</v>
      </c>
      <c r="G110" s="119">
        <f t="shared" si="14"/>
        <v>40.670194062098972</v>
      </c>
      <c r="H110" s="122"/>
      <c r="I110" s="42"/>
      <c r="J110" s="5">
        <v>25</v>
      </c>
      <c r="K110" s="9">
        <v>0.09</v>
      </c>
      <c r="L110" s="84">
        <v>2.6904318197461721E-7</v>
      </c>
      <c r="M110" s="219">
        <v>-3.5905495356519798E-4</v>
      </c>
      <c r="N110" s="87">
        <v>0.24349999999999999</v>
      </c>
      <c r="O110" s="60">
        <v>12.05</v>
      </c>
      <c r="P110" s="65">
        <v>1</v>
      </c>
      <c r="Q110" s="37">
        <v>50</v>
      </c>
      <c r="R110" s="109" t="s">
        <v>41</v>
      </c>
      <c r="S110" s="108"/>
      <c r="T110" s="108"/>
      <c r="U110" s="108"/>
      <c r="V110" s="30"/>
    </row>
    <row r="111" spans="1:26" ht="18" thickBot="1" x14ac:dyDescent="0.3">
      <c r="A111" s="939"/>
      <c r="B111" s="7" t="s">
        <v>18</v>
      </c>
      <c r="C111" s="249">
        <v>-50</v>
      </c>
      <c r="D111" s="748">
        <v>160</v>
      </c>
      <c r="E111" s="136">
        <f t="shared" si="12"/>
        <v>160</v>
      </c>
      <c r="F111" s="130" t="e">
        <f>IF(OR(#REF!="", E111=""),"",E111^3*L111+E111^2*M111+E111*N111+O111+(J111-#REF!)*K111)</f>
        <v>#REF!</v>
      </c>
      <c r="G111" s="123">
        <f t="shared" si="14"/>
        <v>16.260255999999998</v>
      </c>
      <c r="H111" s="114"/>
      <c r="I111" s="38"/>
      <c r="J111" s="19">
        <v>25</v>
      </c>
      <c r="K111" s="88">
        <v>-0.02</v>
      </c>
      <c r="L111" s="89">
        <v>1.11E-7</v>
      </c>
      <c r="M111" s="220">
        <v>-1.4899999999999999E-4</v>
      </c>
      <c r="N111" s="221">
        <v>9.1999999999999998E-2</v>
      </c>
      <c r="O111" s="63">
        <v>4.4000000000000004</v>
      </c>
      <c r="P111" s="66">
        <v>0.6</v>
      </c>
      <c r="Q111" s="40">
        <v>50</v>
      </c>
      <c r="R111" s="109" t="s">
        <v>41</v>
      </c>
      <c r="S111" s="108"/>
      <c r="T111" s="108"/>
      <c r="U111" s="108"/>
      <c r="V111" s="30"/>
    </row>
    <row r="113" spans="1:28" x14ac:dyDescent="0.25">
      <c r="A113" s="72"/>
      <c r="B113" s="72"/>
      <c r="C113" s="72"/>
      <c r="D113" s="72"/>
      <c r="E113" s="72"/>
      <c r="F113" s="72"/>
      <c r="G113" s="72"/>
      <c r="H113" s="72"/>
      <c r="I113" s="72"/>
      <c r="J113" s="72"/>
    </row>
    <row r="114" spans="1:28" x14ac:dyDescent="0.25">
      <c r="A114" s="72"/>
      <c r="B114" s="47"/>
      <c r="C114" s="155"/>
      <c r="D114" s="155"/>
      <c r="E114" s="156"/>
      <c r="F114" s="157"/>
      <c r="G114" s="157"/>
      <c r="H114" s="72"/>
      <c r="I114" s="740"/>
      <c r="J114" s="72"/>
    </row>
    <row r="115" spans="1:28" x14ac:dyDescent="0.25">
      <c r="A115" s="72"/>
      <c r="B115" s="72"/>
      <c r="C115" s="72"/>
      <c r="D115" s="72"/>
      <c r="E115" s="72"/>
      <c r="F115" s="72"/>
      <c r="G115" s="72"/>
      <c r="H115" s="72"/>
      <c r="I115" s="72"/>
      <c r="J115" s="72"/>
    </row>
    <row r="116" spans="1:28" x14ac:dyDescent="0.25">
      <c r="X116" s="133"/>
      <c r="Y116" s="133"/>
      <c r="Z116" s="133"/>
      <c r="AA116" s="133"/>
      <c r="AB116" s="133"/>
    </row>
    <row r="117" spans="1:28" x14ac:dyDescent="0.25">
      <c r="X117" s="133"/>
      <c r="Y117" s="133"/>
      <c r="Z117" s="133"/>
      <c r="AA117" s="133"/>
      <c r="AB117" s="741"/>
    </row>
    <row r="118" spans="1:28" x14ac:dyDescent="0.25">
      <c r="X118" s="742"/>
      <c r="Y118" s="742"/>
      <c r="Z118" s="743"/>
      <c r="AA118" s="743"/>
      <c r="AB118" s="743"/>
    </row>
    <row r="119" spans="1:28" x14ac:dyDescent="0.25">
      <c r="X119" s="744"/>
      <c r="Y119" s="744"/>
      <c r="Z119" s="742"/>
      <c r="AA119" s="742"/>
      <c r="AB119" s="742"/>
    </row>
    <row r="120" spans="1:28" x14ac:dyDescent="0.25">
      <c r="Y120" s="52"/>
      <c r="Z120" s="32"/>
      <c r="AA120" s="32"/>
      <c r="AB120" s="52"/>
    </row>
    <row r="121" spans="1:28" x14ac:dyDescent="0.25">
      <c r="Y121" s="52"/>
      <c r="Z121" s="32"/>
      <c r="AA121" s="32"/>
      <c r="AB121" s="52"/>
    </row>
    <row r="122" spans="1:28" x14ac:dyDescent="0.25">
      <c r="Y122" s="52"/>
      <c r="Z122" s="32"/>
      <c r="AA122" s="32"/>
      <c r="AB122" s="52"/>
    </row>
    <row r="123" spans="1:28" x14ac:dyDescent="0.25">
      <c r="Y123" s="52"/>
      <c r="Z123" s="52"/>
      <c r="AA123" s="32"/>
      <c r="AB123" s="52"/>
    </row>
    <row r="124" spans="1:28" x14ac:dyDescent="0.25">
      <c r="Y124" s="52"/>
      <c r="Z124" s="52"/>
      <c r="AA124" s="32"/>
      <c r="AB124" s="52"/>
    </row>
    <row r="125" spans="1:28" x14ac:dyDescent="0.25">
      <c r="Y125" s="25"/>
      <c r="Z125" s="25"/>
      <c r="AA125" s="25"/>
      <c r="AB125" s="25"/>
    </row>
    <row r="126" spans="1:28" x14ac:dyDescent="0.25">
      <c r="Y126" s="25"/>
      <c r="Z126" s="25"/>
      <c r="AA126" s="25"/>
      <c r="AB126" s="25"/>
    </row>
    <row r="127" spans="1:28" x14ac:dyDescent="0.25">
      <c r="Y127" s="25"/>
      <c r="Z127" s="25"/>
      <c r="AA127" s="25"/>
      <c r="AB127" s="25"/>
    </row>
    <row r="128" spans="1:28" x14ac:dyDescent="0.25">
      <c r="Y128" s="25"/>
      <c r="Z128" s="25"/>
      <c r="AA128" s="25"/>
      <c r="AB128" s="25"/>
    </row>
    <row r="129" spans="25:28" x14ac:dyDescent="0.25">
      <c r="Y129" s="25"/>
      <c r="Z129" s="25"/>
      <c r="AA129" s="25"/>
      <c r="AB129" s="25"/>
    </row>
    <row r="130" spans="25:28" x14ac:dyDescent="0.25">
      <c r="Y130" s="25"/>
      <c r="Z130" s="25"/>
      <c r="AA130" s="25"/>
      <c r="AB130" s="25"/>
    </row>
    <row r="131" spans="25:28" x14ac:dyDescent="0.25">
      <c r="Y131" s="25"/>
      <c r="Z131" s="25"/>
      <c r="AA131" s="25"/>
      <c r="AB131" s="25"/>
    </row>
    <row r="132" spans="25:28" x14ac:dyDescent="0.25">
      <c r="Y132" s="25"/>
      <c r="Z132" s="25"/>
      <c r="AA132" s="25"/>
      <c r="AB132" s="25"/>
    </row>
    <row r="133" spans="25:28" x14ac:dyDescent="0.25">
      <c r="Y133" s="25"/>
      <c r="Z133" s="25"/>
      <c r="AA133" s="25"/>
      <c r="AB133" s="25"/>
    </row>
    <row r="134" spans="25:28" x14ac:dyDescent="0.25">
      <c r="Y134" s="25"/>
      <c r="Z134" s="25"/>
      <c r="AA134" s="25"/>
      <c r="AB134" s="25"/>
    </row>
    <row r="135" spans="25:28" x14ac:dyDescent="0.25">
      <c r="Y135" s="25"/>
      <c r="Z135" s="25"/>
      <c r="AA135" s="25"/>
      <c r="AB135" s="25"/>
    </row>
    <row r="136" spans="25:28" x14ac:dyDescent="0.25">
      <c r="Y136" s="25"/>
      <c r="Z136" s="25"/>
      <c r="AA136" s="25"/>
      <c r="AB136" s="25"/>
    </row>
    <row r="137" spans="25:28" x14ac:dyDescent="0.25">
      <c r="Y137" s="25"/>
      <c r="Z137" s="25"/>
      <c r="AA137" s="25"/>
      <c r="AB137" s="25"/>
    </row>
    <row r="138" spans="25:28" x14ac:dyDescent="0.25">
      <c r="Y138" s="25"/>
      <c r="Z138" s="25"/>
      <c r="AA138" s="25"/>
      <c r="AB138" s="25"/>
    </row>
    <row r="139" spans="25:28" x14ac:dyDescent="0.25">
      <c r="Y139" s="25"/>
      <c r="Z139" s="25"/>
      <c r="AA139" s="25"/>
      <c r="AB139" s="25"/>
    </row>
    <row r="140" spans="25:28" x14ac:dyDescent="0.25">
      <c r="Y140" s="25"/>
      <c r="Z140" s="25"/>
      <c r="AA140" s="25"/>
      <c r="AB140" s="25"/>
    </row>
    <row r="141" spans="25:28" x14ac:dyDescent="0.25">
      <c r="Y141" s="25"/>
      <c r="Z141" s="25"/>
      <c r="AA141" s="25"/>
      <c r="AB141" s="25"/>
    </row>
    <row r="142" spans="25:28" x14ac:dyDescent="0.25">
      <c r="Y142" s="25"/>
      <c r="Z142" s="25"/>
      <c r="AA142" s="25"/>
      <c r="AB142" s="25"/>
    </row>
    <row r="143" spans="25:28" x14ac:dyDescent="0.25">
      <c r="Y143" s="25"/>
      <c r="Z143" s="25"/>
      <c r="AA143" s="25"/>
      <c r="AB143" s="25"/>
    </row>
    <row r="144" spans="25:28" x14ac:dyDescent="0.25">
      <c r="Y144" s="25"/>
      <c r="Z144" s="25"/>
      <c r="AA144" s="25"/>
      <c r="AB144" s="25"/>
    </row>
    <row r="145" spans="25:28" x14ac:dyDescent="0.25">
      <c r="Y145" s="25"/>
      <c r="Z145" s="25"/>
      <c r="AA145" s="25"/>
      <c r="AB145" s="25"/>
    </row>
    <row r="146" spans="25:28" x14ac:dyDescent="0.25">
      <c r="Y146" s="25"/>
      <c r="Z146" s="25"/>
      <c r="AA146" s="25"/>
      <c r="AB146" s="25"/>
    </row>
    <row r="147" spans="25:28" x14ac:dyDescent="0.25">
      <c r="Y147" s="25"/>
      <c r="Z147" s="25"/>
      <c r="AA147" s="25"/>
      <c r="AB147" s="25"/>
    </row>
    <row r="148" spans="25:28" x14ac:dyDescent="0.25">
      <c r="Y148" s="25"/>
      <c r="Z148" s="25"/>
      <c r="AA148" s="25"/>
      <c r="AB148" s="25"/>
    </row>
    <row r="149" spans="25:28" x14ac:dyDescent="0.25">
      <c r="Y149" s="25"/>
      <c r="Z149" s="25"/>
      <c r="AA149" s="25"/>
      <c r="AB149" s="25"/>
    </row>
    <row r="150" spans="25:28" x14ac:dyDescent="0.25">
      <c r="Y150" s="25"/>
      <c r="Z150" s="25"/>
      <c r="AA150" s="25"/>
      <c r="AB150" s="25"/>
    </row>
    <row r="151" spans="25:28" x14ac:dyDescent="0.25">
      <c r="Y151" s="25"/>
      <c r="Z151" s="25"/>
      <c r="AA151" s="25"/>
      <c r="AB151" s="25"/>
    </row>
    <row r="152" spans="25:28" x14ac:dyDescent="0.25">
      <c r="Y152" s="25"/>
      <c r="Z152" s="25"/>
      <c r="AA152" s="25"/>
      <c r="AB152" s="25"/>
    </row>
    <row r="153" spans="25:28" x14ac:dyDescent="0.25">
      <c r="Y153" s="25"/>
      <c r="Z153" s="25"/>
      <c r="AA153" s="25"/>
      <c r="AB153" s="25"/>
    </row>
    <row r="154" spans="25:28" x14ac:dyDescent="0.25">
      <c r="Y154" s="25"/>
      <c r="Z154" s="25"/>
      <c r="AA154" s="25"/>
      <c r="AB154" s="25"/>
    </row>
    <row r="155" spans="25:28" x14ac:dyDescent="0.25">
      <c r="Y155" s="25"/>
      <c r="Z155" s="25"/>
      <c r="AA155" s="25"/>
      <c r="AB155" s="25"/>
    </row>
    <row r="156" spans="25:28" x14ac:dyDescent="0.25">
      <c r="Y156" s="25"/>
      <c r="Z156" s="25"/>
      <c r="AA156" s="25"/>
      <c r="AB156" s="25"/>
    </row>
    <row r="157" spans="25:28" x14ac:dyDescent="0.25">
      <c r="Y157" s="25"/>
      <c r="Z157" s="25"/>
      <c r="AA157" s="25"/>
      <c r="AB157" s="25"/>
    </row>
    <row r="158" spans="25:28" x14ac:dyDescent="0.25">
      <c r="Y158" s="25"/>
      <c r="Z158" s="25"/>
      <c r="AA158" s="25"/>
      <c r="AB158" s="25"/>
    </row>
    <row r="159" spans="25:28" x14ac:dyDescent="0.25">
      <c r="Y159" s="25"/>
      <c r="Z159" s="25"/>
      <c r="AA159" s="25"/>
      <c r="AB159" s="25"/>
    </row>
    <row r="160" spans="25:28" x14ac:dyDescent="0.25">
      <c r="Y160" s="25"/>
      <c r="Z160" s="25"/>
      <c r="AA160" s="25"/>
      <c r="AB160" s="25"/>
    </row>
    <row r="161" spans="25:28" x14ac:dyDescent="0.25">
      <c r="Y161" s="25"/>
      <c r="Z161" s="25"/>
      <c r="AA161" s="25"/>
      <c r="AB161" s="25"/>
    </row>
    <row r="162" spans="25:28" x14ac:dyDescent="0.25">
      <c r="Y162" s="25"/>
      <c r="Z162" s="25"/>
      <c r="AA162" s="25"/>
      <c r="AB162" s="25"/>
    </row>
    <row r="163" spans="25:28" x14ac:dyDescent="0.25">
      <c r="Y163" s="25"/>
      <c r="Z163" s="25"/>
      <c r="AA163" s="25"/>
      <c r="AB163" s="25"/>
    </row>
    <row r="164" spans="25:28" x14ac:dyDescent="0.25">
      <c r="Y164" s="25"/>
      <c r="Z164" s="25"/>
      <c r="AA164" s="25"/>
      <c r="AB164" s="25"/>
    </row>
    <row r="165" spans="25:28" x14ac:dyDescent="0.25">
      <c r="Y165" s="25"/>
      <c r="Z165" s="25"/>
      <c r="AA165" s="25"/>
      <c r="AB165" s="25"/>
    </row>
    <row r="166" spans="25:28" x14ac:dyDescent="0.25">
      <c r="Y166" s="25"/>
      <c r="Z166" s="25"/>
      <c r="AA166" s="25"/>
      <c r="AB166" s="25"/>
    </row>
    <row r="167" spans="25:28" x14ac:dyDescent="0.25">
      <c r="Y167" s="25"/>
      <c r="Z167" s="25"/>
      <c r="AA167" s="25"/>
      <c r="AB167" s="25"/>
    </row>
    <row r="168" spans="25:28" x14ac:dyDescent="0.25">
      <c r="Y168" s="25"/>
      <c r="Z168" s="25"/>
      <c r="AA168" s="25"/>
      <c r="AB168" s="25"/>
    </row>
    <row r="169" spans="25:28" x14ac:dyDescent="0.25">
      <c r="Y169" s="25"/>
      <c r="Z169" s="25"/>
      <c r="AA169" s="25"/>
      <c r="AB169" s="25"/>
    </row>
    <row r="170" spans="25:28" x14ac:dyDescent="0.25">
      <c r="Y170" s="25"/>
      <c r="Z170" s="25"/>
      <c r="AA170" s="25"/>
      <c r="AB170" s="25"/>
    </row>
    <row r="171" spans="25:28" x14ac:dyDescent="0.25">
      <c r="Y171" s="25"/>
      <c r="Z171" s="25"/>
      <c r="AA171" s="25"/>
      <c r="AB171" s="25"/>
    </row>
    <row r="172" spans="25:28" x14ac:dyDescent="0.25">
      <c r="Y172" s="25"/>
      <c r="Z172" s="25"/>
      <c r="AA172" s="25"/>
      <c r="AB172" s="25"/>
    </row>
    <row r="173" spans="25:28" x14ac:dyDescent="0.25">
      <c r="Y173" s="25"/>
      <c r="Z173" s="25"/>
      <c r="AA173" s="25"/>
      <c r="AB173" s="25"/>
    </row>
    <row r="174" spans="25:28" x14ac:dyDescent="0.25">
      <c r="Y174" s="25"/>
      <c r="Z174" s="25"/>
      <c r="AA174" s="25"/>
      <c r="AB174" s="25"/>
    </row>
    <row r="175" spans="25:28" x14ac:dyDescent="0.25">
      <c r="Y175" s="25"/>
      <c r="Z175" s="25"/>
      <c r="AA175" s="25"/>
      <c r="AB175" s="25"/>
    </row>
    <row r="176" spans="25:28" x14ac:dyDescent="0.25">
      <c r="Y176" s="25"/>
      <c r="Z176" s="25"/>
      <c r="AA176" s="25"/>
      <c r="AB176" s="25"/>
    </row>
    <row r="177" spans="25:28" x14ac:dyDescent="0.25">
      <c r="Y177" s="25"/>
      <c r="Z177" s="25"/>
      <c r="AA177" s="25"/>
      <c r="AB177" s="25"/>
    </row>
    <row r="178" spans="25:28" x14ac:dyDescent="0.25">
      <c r="Y178" s="25"/>
      <c r="Z178" s="25"/>
      <c r="AA178" s="25"/>
      <c r="AB178" s="25"/>
    </row>
    <row r="179" spans="25:28" x14ac:dyDescent="0.25">
      <c r="Y179" s="25"/>
      <c r="Z179" s="25"/>
      <c r="AA179" s="25"/>
      <c r="AB179" s="25"/>
    </row>
    <row r="180" spans="25:28" x14ac:dyDescent="0.25">
      <c r="Y180" s="25"/>
      <c r="Z180" s="25"/>
      <c r="AA180" s="25"/>
      <c r="AB180" s="25"/>
    </row>
    <row r="181" spans="25:28" x14ac:dyDescent="0.25">
      <c r="Y181" s="25"/>
      <c r="Z181" s="25"/>
      <c r="AA181" s="25"/>
      <c r="AB181" s="25"/>
    </row>
    <row r="182" spans="25:28" x14ac:dyDescent="0.25">
      <c r="Y182" s="25"/>
      <c r="Z182" s="25"/>
      <c r="AA182" s="25"/>
      <c r="AB182" s="25"/>
    </row>
    <row r="183" spans="25:28" x14ac:dyDescent="0.25">
      <c r="Y183" s="25"/>
      <c r="Z183" s="25"/>
      <c r="AA183" s="25"/>
      <c r="AB183" s="25"/>
    </row>
    <row r="184" spans="25:28" x14ac:dyDescent="0.25">
      <c r="Y184" s="25"/>
      <c r="Z184" s="25"/>
      <c r="AA184" s="25"/>
      <c r="AB184" s="25"/>
    </row>
    <row r="185" spans="25:28" x14ac:dyDescent="0.25">
      <c r="Y185" s="25"/>
      <c r="Z185" s="25"/>
      <c r="AA185" s="25"/>
      <c r="AB185" s="25"/>
    </row>
    <row r="186" spans="25:28" x14ac:dyDescent="0.25">
      <c r="Y186" s="25"/>
      <c r="Z186" s="25"/>
      <c r="AA186" s="25"/>
      <c r="AB186" s="25"/>
    </row>
    <row r="187" spans="25:28" x14ac:dyDescent="0.25">
      <c r="Y187" s="25"/>
      <c r="Z187" s="25"/>
      <c r="AA187" s="25"/>
      <c r="AB187" s="25"/>
    </row>
    <row r="188" spans="25:28" x14ac:dyDescent="0.25">
      <c r="Y188" s="25"/>
      <c r="Z188" s="25"/>
      <c r="AA188" s="25"/>
      <c r="AB188" s="25"/>
    </row>
    <row r="189" spans="25:28" x14ac:dyDescent="0.25">
      <c r="Y189" s="25"/>
      <c r="Z189" s="25"/>
      <c r="AA189" s="25"/>
      <c r="AB189" s="25"/>
    </row>
    <row r="190" spans="25:28" x14ac:dyDescent="0.25">
      <c r="Y190" s="25"/>
      <c r="Z190" s="25"/>
      <c r="AA190" s="25"/>
      <c r="AB190" s="25"/>
    </row>
    <row r="191" spans="25:28" x14ac:dyDescent="0.25">
      <c r="Y191" s="25"/>
      <c r="Z191" s="25"/>
      <c r="AA191" s="25"/>
      <c r="AB191" s="25"/>
    </row>
    <row r="192" spans="25:28" x14ac:dyDescent="0.25">
      <c r="Y192" s="25"/>
      <c r="Z192" s="25"/>
      <c r="AA192" s="25"/>
      <c r="AB192" s="25"/>
    </row>
    <row r="193" spans="25:28" x14ac:dyDescent="0.25">
      <c r="Y193" s="25"/>
      <c r="Z193" s="25"/>
      <c r="AA193" s="25"/>
      <c r="AB193" s="25"/>
    </row>
    <row r="194" spans="25:28" x14ac:dyDescent="0.25">
      <c r="Y194" s="25"/>
      <c r="Z194" s="25"/>
      <c r="AA194" s="25"/>
      <c r="AB194" s="25"/>
    </row>
    <row r="195" spans="25:28" x14ac:dyDescent="0.25">
      <c r="Y195" s="25"/>
      <c r="Z195" s="25"/>
      <c r="AA195" s="25"/>
      <c r="AB195" s="25"/>
    </row>
    <row r="196" spans="25:28" x14ac:dyDescent="0.25">
      <c r="Y196" s="25"/>
      <c r="Z196" s="25"/>
      <c r="AA196" s="25"/>
      <c r="AB196" s="25"/>
    </row>
    <row r="197" spans="25:28" x14ac:dyDescent="0.25">
      <c r="Y197" s="25"/>
      <c r="Z197" s="25"/>
      <c r="AA197" s="25"/>
      <c r="AB197" s="25"/>
    </row>
    <row r="198" spans="25:28" x14ac:dyDescent="0.25">
      <c r="Y198" s="25"/>
      <c r="Z198" s="25"/>
      <c r="AA198" s="25"/>
      <c r="AB198" s="25"/>
    </row>
    <row r="199" spans="25:28" x14ac:dyDescent="0.25">
      <c r="Y199" s="25"/>
      <c r="Z199" s="25"/>
      <c r="AA199" s="25"/>
      <c r="AB199" s="25"/>
    </row>
    <row r="200" spans="25:28" x14ac:dyDescent="0.25">
      <c r="Y200" s="25"/>
      <c r="Z200" s="25"/>
      <c r="AA200" s="25"/>
      <c r="AB200" s="25"/>
    </row>
    <row r="201" spans="25:28" x14ac:dyDescent="0.25">
      <c r="Y201" s="25"/>
      <c r="Z201" s="25"/>
      <c r="AA201" s="25"/>
      <c r="AB201" s="25"/>
    </row>
    <row r="202" spans="25:28" x14ac:dyDescent="0.25">
      <c r="Y202" s="25"/>
      <c r="Z202" s="25"/>
      <c r="AA202" s="25"/>
      <c r="AB202" s="25"/>
    </row>
    <row r="203" spans="25:28" x14ac:dyDescent="0.25">
      <c r="Y203" s="25"/>
      <c r="Z203" s="25"/>
      <c r="AA203" s="25"/>
      <c r="AB203" s="25"/>
    </row>
    <row r="204" spans="25:28" x14ac:dyDescent="0.25">
      <c r="Y204" s="25"/>
      <c r="Z204" s="25"/>
      <c r="AA204" s="25"/>
      <c r="AB204" s="25"/>
    </row>
    <row r="205" spans="25:28" x14ac:dyDescent="0.25">
      <c r="Y205" s="25"/>
      <c r="Z205" s="25"/>
      <c r="AA205" s="25"/>
      <c r="AB205" s="25"/>
    </row>
    <row r="206" spans="25:28" x14ac:dyDescent="0.25">
      <c r="Y206" s="25"/>
      <c r="Z206" s="25"/>
      <c r="AA206" s="25"/>
      <c r="AB206" s="25"/>
    </row>
    <row r="207" spans="25:28" x14ac:dyDescent="0.25">
      <c r="Y207" s="25"/>
      <c r="Z207" s="25"/>
      <c r="AA207" s="25"/>
      <c r="AB207" s="25"/>
    </row>
    <row r="208" spans="25:28" x14ac:dyDescent="0.25">
      <c r="Y208" s="25"/>
      <c r="Z208" s="25"/>
      <c r="AA208" s="25"/>
      <c r="AB208" s="25"/>
    </row>
    <row r="209" spans="25:28" x14ac:dyDescent="0.25">
      <c r="Y209" s="25"/>
      <c r="Z209" s="25"/>
      <c r="AA209" s="25"/>
      <c r="AB209" s="25"/>
    </row>
    <row r="210" spans="25:28" x14ac:dyDescent="0.25">
      <c r="Y210" s="25"/>
      <c r="Z210" s="25"/>
      <c r="AA210" s="25"/>
      <c r="AB210" s="25"/>
    </row>
    <row r="211" spans="25:28" x14ac:dyDescent="0.25">
      <c r="Y211" s="25"/>
      <c r="Z211" s="25"/>
      <c r="AA211" s="25"/>
      <c r="AB211" s="25"/>
    </row>
    <row r="212" spans="25:28" x14ac:dyDescent="0.25">
      <c r="Y212" s="25"/>
      <c r="Z212" s="25"/>
      <c r="AA212" s="25"/>
      <c r="AB212" s="25"/>
    </row>
    <row r="213" spans="25:28" x14ac:dyDescent="0.25">
      <c r="Y213" s="25"/>
      <c r="Z213" s="25"/>
      <c r="AA213" s="25"/>
      <c r="AB213" s="25"/>
    </row>
    <row r="214" spans="25:28" x14ac:dyDescent="0.25">
      <c r="Y214" s="25"/>
      <c r="Z214" s="25"/>
      <c r="AA214" s="25"/>
      <c r="AB214" s="25"/>
    </row>
    <row r="215" spans="25:28" x14ac:dyDescent="0.25">
      <c r="Y215" s="25"/>
      <c r="Z215" s="25"/>
      <c r="AA215" s="25"/>
      <c r="AB215" s="25"/>
    </row>
    <row r="216" spans="25:28" x14ac:dyDescent="0.25">
      <c r="Y216" s="25"/>
      <c r="Z216" s="25"/>
      <c r="AA216" s="25"/>
      <c r="AB216" s="25"/>
    </row>
    <row r="217" spans="25:28" x14ac:dyDescent="0.25">
      <c r="Y217" s="25"/>
      <c r="Z217" s="25"/>
      <c r="AA217" s="25"/>
      <c r="AB217" s="25"/>
    </row>
    <row r="218" spans="25:28" x14ac:dyDescent="0.25">
      <c r="Y218" s="25"/>
      <c r="Z218" s="25"/>
      <c r="AA218" s="25"/>
      <c r="AB218" s="25"/>
    </row>
    <row r="219" spans="25:28" x14ac:dyDescent="0.25">
      <c r="Y219" s="25"/>
      <c r="Z219" s="25"/>
      <c r="AA219" s="25"/>
      <c r="AB219" s="25"/>
    </row>
    <row r="220" spans="25:28" x14ac:dyDescent="0.25">
      <c r="Y220" s="25"/>
      <c r="Z220" s="25"/>
      <c r="AA220" s="25"/>
      <c r="AB220" s="25"/>
    </row>
    <row r="221" spans="25:28" x14ac:dyDescent="0.25">
      <c r="Y221" s="25"/>
      <c r="Z221" s="25"/>
      <c r="AA221" s="25"/>
      <c r="AB221" s="25"/>
    </row>
    <row r="222" spans="25:28" x14ac:dyDescent="0.25">
      <c r="Y222" s="25"/>
      <c r="Z222" s="25"/>
      <c r="AA222" s="25"/>
      <c r="AB222" s="25"/>
    </row>
    <row r="223" spans="25:28" x14ac:dyDescent="0.25">
      <c r="Y223" s="25"/>
      <c r="Z223" s="25"/>
      <c r="AA223" s="25"/>
      <c r="AB223" s="25"/>
    </row>
    <row r="224" spans="25:28" x14ac:dyDescent="0.25">
      <c r="Y224" s="25"/>
      <c r="Z224" s="25"/>
      <c r="AA224" s="25"/>
      <c r="AB224" s="25"/>
    </row>
    <row r="225" spans="25:28" x14ac:dyDescent="0.25">
      <c r="Y225" s="25"/>
      <c r="Z225" s="25"/>
      <c r="AA225" s="25"/>
      <c r="AB225" s="25"/>
    </row>
    <row r="226" spans="25:28" x14ac:dyDescent="0.25">
      <c r="Y226" s="25"/>
      <c r="Z226" s="25"/>
      <c r="AA226" s="25"/>
      <c r="AB226" s="25"/>
    </row>
    <row r="227" spans="25:28" x14ac:dyDescent="0.25">
      <c r="Y227" s="25"/>
      <c r="Z227" s="25"/>
      <c r="AA227" s="25"/>
      <c r="AB227" s="25"/>
    </row>
    <row r="228" spans="25:28" x14ac:dyDescent="0.25">
      <c r="Y228" s="25"/>
      <c r="Z228" s="25"/>
      <c r="AA228" s="25"/>
      <c r="AB228" s="25"/>
    </row>
    <row r="229" spans="25:28" x14ac:dyDescent="0.25">
      <c r="Y229" s="25"/>
      <c r="Z229" s="25"/>
      <c r="AA229" s="25"/>
      <c r="AB229" s="25"/>
    </row>
    <row r="230" spans="25:28" x14ac:dyDescent="0.25">
      <c r="Y230" s="25"/>
      <c r="Z230" s="25"/>
      <c r="AA230" s="25"/>
      <c r="AB230" s="25"/>
    </row>
    <row r="231" spans="25:28" x14ac:dyDescent="0.25">
      <c r="Y231" s="25"/>
      <c r="Z231" s="25"/>
      <c r="AA231" s="25"/>
      <c r="AB231" s="25"/>
    </row>
    <row r="232" spans="25:28" x14ac:dyDescent="0.25">
      <c r="Y232" s="25"/>
      <c r="Z232" s="25"/>
      <c r="AA232" s="25"/>
      <c r="AB232" s="25"/>
    </row>
    <row r="233" spans="25:28" x14ac:dyDescent="0.25">
      <c r="Y233" s="25"/>
      <c r="Z233" s="25"/>
      <c r="AA233" s="25"/>
      <c r="AB233" s="25"/>
    </row>
    <row r="234" spans="25:28" x14ac:dyDescent="0.25">
      <c r="Y234" s="25"/>
      <c r="Z234" s="25"/>
      <c r="AA234" s="25"/>
      <c r="AB234" s="25"/>
    </row>
    <row r="235" spans="25:28" x14ac:dyDescent="0.25">
      <c r="Y235" s="25"/>
      <c r="Z235" s="25"/>
      <c r="AA235" s="25"/>
      <c r="AB235" s="25"/>
    </row>
    <row r="236" spans="25:28" x14ac:dyDescent="0.25">
      <c r="Y236" s="25"/>
      <c r="Z236" s="25"/>
      <c r="AA236" s="25"/>
      <c r="AB236" s="25"/>
    </row>
    <row r="237" spans="25:28" x14ac:dyDescent="0.25">
      <c r="Y237" s="25"/>
      <c r="Z237" s="25"/>
      <c r="AA237" s="25"/>
      <c r="AB237" s="25"/>
    </row>
    <row r="238" spans="25:28" x14ac:dyDescent="0.25">
      <c r="Y238" s="25"/>
      <c r="Z238" s="25"/>
      <c r="AA238" s="25"/>
      <c r="AB238" s="25"/>
    </row>
    <row r="239" spans="25:28" x14ac:dyDescent="0.25">
      <c r="Y239" s="25"/>
      <c r="Z239" s="25"/>
      <c r="AA239" s="25"/>
      <c r="AB239" s="25"/>
    </row>
    <row r="240" spans="25:28" x14ac:dyDescent="0.25">
      <c r="Y240" s="25"/>
      <c r="Z240" s="25"/>
      <c r="AA240" s="25"/>
      <c r="AB240" s="25"/>
    </row>
    <row r="241" spans="25:28" x14ac:dyDescent="0.25">
      <c r="Y241" s="25"/>
      <c r="Z241" s="25"/>
      <c r="AA241" s="25"/>
      <c r="AB241" s="25"/>
    </row>
    <row r="242" spans="25:28" x14ac:dyDescent="0.25">
      <c r="Y242" s="25"/>
      <c r="Z242" s="25"/>
      <c r="AA242" s="25"/>
      <c r="AB242" s="25"/>
    </row>
    <row r="243" spans="25:28" x14ac:dyDescent="0.25">
      <c r="Y243" s="25"/>
      <c r="Z243" s="25"/>
      <c r="AA243" s="25"/>
      <c r="AB243" s="25"/>
    </row>
    <row r="244" spans="25:28" x14ac:dyDescent="0.25">
      <c r="Y244" s="25"/>
      <c r="Z244" s="25"/>
      <c r="AA244" s="25"/>
      <c r="AB244" s="25"/>
    </row>
    <row r="245" spans="25:28" x14ac:dyDescent="0.25">
      <c r="Y245" s="25"/>
      <c r="Z245" s="25"/>
      <c r="AA245" s="25"/>
      <c r="AB245" s="25"/>
    </row>
    <row r="246" spans="25:28" x14ac:dyDescent="0.25">
      <c r="Y246" s="25"/>
      <c r="Z246" s="25"/>
      <c r="AA246" s="25"/>
      <c r="AB246" s="25"/>
    </row>
    <row r="247" spans="25:28" x14ac:dyDescent="0.25">
      <c r="Y247" s="25"/>
      <c r="Z247" s="25"/>
      <c r="AA247" s="25"/>
      <c r="AB247" s="25"/>
    </row>
    <row r="248" spans="25:28" x14ac:dyDescent="0.25">
      <c r="Y248" s="25"/>
      <c r="Z248" s="25"/>
      <c r="AA248" s="25"/>
      <c r="AB248" s="25"/>
    </row>
    <row r="249" spans="25:28" x14ac:dyDescent="0.25">
      <c r="Y249" s="25"/>
      <c r="Z249" s="25"/>
      <c r="AA249" s="25"/>
      <c r="AB249" s="25"/>
    </row>
    <row r="250" spans="25:28" x14ac:dyDescent="0.25">
      <c r="Y250" s="25"/>
      <c r="Z250" s="25"/>
      <c r="AA250" s="25"/>
      <c r="AB250" s="25"/>
    </row>
    <row r="251" spans="25:28" x14ac:dyDescent="0.25">
      <c r="Y251" s="25"/>
      <c r="Z251" s="25"/>
      <c r="AA251" s="25"/>
      <c r="AB251" s="25"/>
    </row>
    <row r="252" spans="25:28" x14ac:dyDescent="0.25">
      <c r="Y252" s="25"/>
      <c r="Z252" s="25"/>
      <c r="AA252" s="25"/>
      <c r="AB252" s="25"/>
    </row>
    <row r="253" spans="25:28" x14ac:dyDescent="0.25">
      <c r="Y253" s="25"/>
      <c r="Z253" s="25"/>
      <c r="AA253" s="25"/>
      <c r="AB253" s="25"/>
    </row>
    <row r="254" spans="25:28" x14ac:dyDescent="0.25">
      <c r="Y254" s="25"/>
      <c r="Z254" s="25"/>
      <c r="AA254" s="25"/>
      <c r="AB254" s="25"/>
    </row>
    <row r="255" spans="25:28" x14ac:dyDescent="0.25">
      <c r="Y255" s="25"/>
      <c r="Z255" s="25"/>
      <c r="AA255" s="25"/>
      <c r="AB255" s="25"/>
    </row>
    <row r="256" spans="25:28" x14ac:dyDescent="0.25">
      <c r="Y256" s="25"/>
      <c r="Z256" s="25"/>
      <c r="AA256" s="25"/>
      <c r="AB256" s="25"/>
    </row>
    <row r="257" spans="25:28" x14ac:dyDescent="0.25">
      <c r="Y257" s="25"/>
      <c r="Z257" s="25"/>
      <c r="AA257" s="25"/>
      <c r="AB257" s="25"/>
    </row>
    <row r="258" spans="25:28" x14ac:dyDescent="0.25">
      <c r="Y258" s="25"/>
      <c r="Z258" s="25"/>
      <c r="AA258" s="25"/>
      <c r="AB258" s="25"/>
    </row>
    <row r="259" spans="25:28" x14ac:dyDescent="0.25">
      <c r="Y259" s="25"/>
      <c r="Z259" s="25"/>
      <c r="AA259" s="25"/>
      <c r="AB259" s="25"/>
    </row>
    <row r="260" spans="25:28" x14ac:dyDescent="0.25">
      <c r="Y260" s="25"/>
      <c r="Z260" s="25"/>
      <c r="AA260" s="25"/>
      <c r="AB260" s="25"/>
    </row>
    <row r="261" spans="25:28" x14ac:dyDescent="0.25">
      <c r="Y261" s="25"/>
      <c r="Z261" s="25"/>
      <c r="AA261" s="25"/>
      <c r="AB261" s="25"/>
    </row>
    <row r="262" spans="25:28" x14ac:dyDescent="0.25">
      <c r="Y262" s="25"/>
      <c r="Z262" s="25"/>
      <c r="AA262" s="25"/>
      <c r="AB262" s="25"/>
    </row>
    <row r="263" spans="25:28" x14ac:dyDescent="0.25">
      <c r="Y263" s="25"/>
      <c r="Z263" s="25"/>
      <c r="AA263" s="25"/>
      <c r="AB263" s="25"/>
    </row>
    <row r="264" spans="25:28" x14ac:dyDescent="0.25">
      <c r="Y264" s="25"/>
      <c r="Z264" s="25"/>
      <c r="AA264" s="25"/>
      <c r="AB264" s="25"/>
    </row>
    <row r="265" spans="25:28" x14ac:dyDescent="0.25">
      <c r="Y265" s="25"/>
      <c r="Z265" s="25"/>
      <c r="AA265" s="25"/>
      <c r="AB265" s="25"/>
    </row>
  </sheetData>
  <sheetProtection algorithmName="SHA-512" hashValue="5EYXEpZYC1SSKJVcIpXtVB9BBXmMKSaFB2xbOSRK/leN+UMdR3SeAqUThx+Ig2Gxlb/0tmdjRW3qXGLL6l35Ug==" saltValue="f3tR4LPiuMOiyPIDEFu5iA==" spinCount="100000" sheet="1" objects="1" scenarios="1" selectLockedCells="1"/>
  <mergeCells count="18">
    <mergeCell ref="G68:N69"/>
    <mergeCell ref="C69:D69"/>
    <mergeCell ref="A1:B2"/>
    <mergeCell ref="C8:D8"/>
    <mergeCell ref="G8:M8"/>
    <mergeCell ref="N9:S10"/>
    <mergeCell ref="A10:A12"/>
    <mergeCell ref="A14:A21"/>
    <mergeCell ref="A23:A31"/>
    <mergeCell ref="A33:A42"/>
    <mergeCell ref="A44:A53"/>
    <mergeCell ref="A55:A65"/>
    <mergeCell ref="A103:A111"/>
    <mergeCell ref="A71:A74"/>
    <mergeCell ref="G77:N78"/>
    <mergeCell ref="C78:D78"/>
    <mergeCell ref="A80:A90"/>
    <mergeCell ref="A93:A101"/>
  </mergeCells>
  <conditionalFormatting sqref="O18">
    <cfRule type="expression" dxfId="196" priority="9">
      <formula>"---"</formula>
    </cfRule>
  </conditionalFormatting>
  <conditionalFormatting sqref="G71:G73">
    <cfRule type="expression" dxfId="195" priority="8">
      <formula>"---"</formula>
    </cfRule>
  </conditionalFormatting>
  <conditionalFormatting sqref="G102">
    <cfRule type="expression" dxfId="194" priority="7">
      <formula>"---"</formula>
    </cfRule>
  </conditionalFormatting>
  <conditionalFormatting sqref="G74">
    <cfRule type="expression" dxfId="193" priority="6">
      <formula>"---"</formula>
    </cfRule>
  </conditionalFormatting>
  <conditionalFormatting sqref="G106:G111">
    <cfRule type="expression" dxfId="192" priority="2">
      <formula>"---"</formula>
    </cfRule>
  </conditionalFormatting>
  <conditionalFormatting sqref="G80:G95">
    <cfRule type="expression" dxfId="191" priority="5">
      <formula>"---"</formula>
    </cfRule>
  </conditionalFormatting>
  <conditionalFormatting sqref="G103:G105">
    <cfRule type="expression" dxfId="190" priority="4">
      <formula>"---"</formula>
    </cfRule>
  </conditionalFormatting>
  <conditionalFormatting sqref="G96:G101">
    <cfRule type="expression" dxfId="189" priority="3">
      <formula>"---"</formula>
    </cfRule>
  </conditionalFormatting>
  <conditionalFormatting sqref="G114">
    <cfRule type="expression" dxfId="188" priority="1">
      <formula>"---"</formula>
    </cfRule>
  </conditionalFormatting>
  <pageMargins left="0.7" right="0.7" top="0.75" bottom="0.75" header="0.3" footer="0.3"/>
  <pageSetup orientation="portrait" copies="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J271"/>
  <sheetViews>
    <sheetView showGridLines="0" topLeftCell="A4" zoomScale="85" zoomScaleNormal="85" workbookViewId="0">
      <selection activeCell="H54" sqref="H54"/>
    </sheetView>
  </sheetViews>
  <sheetFormatPr defaultColWidth="9.140625" defaultRowHeight="15" x14ac:dyDescent="0.25"/>
  <cols>
    <col min="1" max="1" width="11.7109375" style="259" customWidth="1"/>
    <col min="2" max="2" width="9.140625" style="259"/>
    <col min="3" max="4" width="10.85546875" style="259" customWidth="1"/>
    <col min="5" max="5" width="11.42578125" style="259" customWidth="1"/>
    <col min="6" max="6" width="11.7109375" style="259" hidden="1" customWidth="1"/>
    <col min="7" max="9" width="9.5703125" style="259" customWidth="1"/>
    <col min="10" max="10" width="7.85546875" style="259" bestFit="1" customWidth="1"/>
    <col min="11" max="11" width="9.5703125" style="259" customWidth="1"/>
    <col min="12" max="14" width="9.42578125" style="259" customWidth="1"/>
    <col min="15" max="15" width="10.28515625" style="259" customWidth="1"/>
    <col min="16" max="16" width="9.28515625" style="259" customWidth="1"/>
    <col min="17" max="17" width="9.140625" style="259"/>
    <col min="18" max="18" width="9.42578125" style="259" customWidth="1"/>
    <col min="19" max="20" width="9.140625" style="259"/>
    <col min="21" max="21" width="9.7109375" style="259" customWidth="1"/>
    <col min="22" max="23" width="9.140625" style="259"/>
    <col min="24" max="24" width="9.7109375" style="259" customWidth="1"/>
    <col min="25" max="25" width="9.140625" style="259" customWidth="1"/>
    <col min="26" max="26" width="9.7109375" style="259" customWidth="1"/>
    <col min="27" max="27" width="10.140625" style="259" customWidth="1"/>
    <col min="28" max="29" width="9.140625" style="259"/>
    <col min="30" max="30" width="9.140625" style="259" customWidth="1"/>
    <col min="31" max="33" width="9.140625" style="259"/>
    <col min="34" max="36" width="9.140625" style="259" customWidth="1"/>
    <col min="37" max="16384" width="9.140625" style="259"/>
  </cols>
  <sheetData>
    <row r="1" spans="1:31" ht="21.75" customHeight="1" x14ac:dyDescent="0.25">
      <c r="A1" s="956" t="s">
        <v>54</v>
      </c>
      <c r="B1" s="956"/>
      <c r="C1" s="658" t="s">
        <v>85</v>
      </c>
      <c r="D1" s="957" t="s">
        <v>84</v>
      </c>
      <c r="E1" s="957"/>
      <c r="F1" s="658"/>
      <c r="G1" s="957" t="s">
        <v>87</v>
      </c>
      <c r="H1" s="957"/>
      <c r="I1" s="957"/>
      <c r="J1" s="957"/>
    </row>
    <row r="2" spans="1:31" ht="21" customHeight="1" x14ac:dyDescent="0.25">
      <c r="A2" s="956"/>
      <c r="B2" s="956"/>
      <c r="C2" s="670" t="s">
        <v>15</v>
      </c>
      <c r="D2" s="958" t="s">
        <v>91</v>
      </c>
      <c r="E2" s="958"/>
      <c r="F2" s="659"/>
      <c r="G2" s="959" t="s">
        <v>88</v>
      </c>
      <c r="H2" s="959"/>
      <c r="I2" s="959"/>
      <c r="J2" s="959"/>
      <c r="K2" s="668" t="s">
        <v>90</v>
      </c>
      <c r="L2" s="661"/>
      <c r="M2" s="661"/>
      <c r="N2" s="661"/>
      <c r="O2" s="661"/>
      <c r="P2" s="661"/>
      <c r="Q2" s="337"/>
      <c r="R2" s="337"/>
      <c r="S2" s="337"/>
      <c r="T2" s="337"/>
      <c r="U2" s="337"/>
      <c r="V2" s="337"/>
      <c r="W2" s="337"/>
    </row>
    <row r="3" spans="1:31" ht="18.75" customHeight="1" x14ac:dyDescent="0.3">
      <c r="C3" s="671" t="s">
        <v>56</v>
      </c>
      <c r="D3" s="954">
        <v>42178</v>
      </c>
      <c r="E3" s="954"/>
      <c r="F3" s="660"/>
      <c r="G3" s="955" t="s">
        <v>89</v>
      </c>
      <c r="H3" s="955"/>
      <c r="I3" s="955"/>
      <c r="J3" s="955"/>
      <c r="O3" s="258"/>
      <c r="P3" s="258"/>
    </row>
    <row r="4" spans="1:31" ht="18.75" x14ac:dyDescent="0.3">
      <c r="C4" s="671" t="s">
        <v>55</v>
      </c>
      <c r="D4" s="960" t="s">
        <v>86</v>
      </c>
      <c r="E4" s="960"/>
      <c r="F4" s="660"/>
      <c r="G4" s="961"/>
      <c r="H4" s="962"/>
      <c r="I4" s="962"/>
      <c r="J4" s="963"/>
      <c r="O4" s="258"/>
      <c r="P4" s="258"/>
    </row>
    <row r="6" spans="1:31" x14ac:dyDescent="0.25">
      <c r="C6" s="259" t="s">
        <v>81</v>
      </c>
      <c r="E6" s="260" t="s">
        <v>92</v>
      </c>
    </row>
    <row r="10" spans="1:31" x14ac:dyDescent="0.25">
      <c r="C10" s="261" t="s">
        <v>10</v>
      </c>
      <c r="D10" s="261"/>
      <c r="E10" s="261"/>
      <c r="F10" s="261"/>
      <c r="G10" s="261"/>
      <c r="H10" s="261"/>
      <c r="I10" s="261"/>
      <c r="J10" s="261"/>
      <c r="K10" s="261"/>
      <c r="L10" s="261"/>
      <c r="M10" s="262"/>
      <c r="N10" s="262"/>
      <c r="O10" s="262"/>
      <c r="Q10" s="263"/>
    </row>
    <row r="11" spans="1:31" x14ac:dyDescent="0.25">
      <c r="C11" s="264" t="s">
        <v>68</v>
      </c>
      <c r="D11" s="264"/>
      <c r="E11" s="264"/>
      <c r="F11" s="264"/>
      <c r="G11" s="264"/>
      <c r="H11" s="264"/>
      <c r="I11" s="264"/>
      <c r="J11" s="265"/>
      <c r="K11" s="264"/>
      <c r="L11" s="264"/>
      <c r="M11" s="264"/>
      <c r="N11" s="264"/>
      <c r="O11" s="264"/>
      <c r="P11" s="264"/>
      <c r="Q11" s="264"/>
      <c r="R11" s="264"/>
    </row>
    <row r="12" spans="1:31" x14ac:dyDescent="0.25">
      <c r="D12" s="266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</row>
    <row r="13" spans="1:31" ht="102.75" customHeight="1" thickBot="1" x14ac:dyDescent="0.3">
      <c r="C13" s="266"/>
      <c r="D13" s="266"/>
      <c r="E13" s="263"/>
      <c r="F13" s="263"/>
      <c r="G13" s="903" t="s">
        <v>73</v>
      </c>
      <c r="H13" s="903"/>
      <c r="I13" s="903"/>
      <c r="J13" s="903"/>
      <c r="K13" s="903"/>
      <c r="L13" s="903"/>
      <c r="M13" s="903"/>
      <c r="N13" s="903"/>
      <c r="O13" s="903"/>
      <c r="P13" s="263"/>
      <c r="Q13" s="263"/>
    </row>
    <row r="14" spans="1:31" ht="38.25" customHeight="1" thickBot="1" x14ac:dyDescent="0.3">
      <c r="C14" s="899" t="s">
        <v>28</v>
      </c>
      <c r="D14" s="900"/>
      <c r="E14" s="267" t="s">
        <v>38</v>
      </c>
      <c r="G14" s="904"/>
      <c r="H14" s="904"/>
      <c r="I14" s="904"/>
      <c r="J14" s="904"/>
      <c r="K14" s="904"/>
      <c r="L14" s="904"/>
      <c r="M14" s="904"/>
      <c r="N14" s="904"/>
      <c r="O14" s="904"/>
      <c r="P14" s="895" t="s">
        <v>74</v>
      </c>
      <c r="Q14" s="895"/>
      <c r="R14" s="895"/>
      <c r="S14" s="906" t="s">
        <v>77</v>
      </c>
      <c r="T14" s="906"/>
      <c r="U14" s="906"/>
      <c r="V14" s="895" t="s">
        <v>75</v>
      </c>
      <c r="W14" s="895"/>
      <c r="X14" s="895"/>
      <c r="Y14" s="906" t="s">
        <v>76</v>
      </c>
      <c r="Z14" s="906"/>
      <c r="AA14" s="906"/>
      <c r="AB14" s="268" t="s">
        <v>70</v>
      </c>
      <c r="AE14" s="269"/>
    </row>
    <row r="15" spans="1:31" ht="87" customHeight="1" thickBot="1" x14ac:dyDescent="0.35">
      <c r="A15" s="270" t="s">
        <v>7</v>
      </c>
      <c r="B15" s="270" t="s">
        <v>8</v>
      </c>
      <c r="C15" s="271" t="s">
        <v>33</v>
      </c>
      <c r="D15" s="272" t="s">
        <v>30</v>
      </c>
      <c r="E15" s="273" t="s">
        <v>39</v>
      </c>
      <c r="F15" s="274" t="s">
        <v>27</v>
      </c>
      <c r="G15" s="275" t="s">
        <v>26</v>
      </c>
      <c r="H15" s="164" t="s">
        <v>93</v>
      </c>
      <c r="I15" s="164" t="s">
        <v>46</v>
      </c>
      <c r="J15" s="276" t="s">
        <v>1</v>
      </c>
      <c r="K15" s="277" t="s">
        <v>0</v>
      </c>
      <c r="L15" s="277" t="s">
        <v>2</v>
      </c>
      <c r="M15" s="277" t="s">
        <v>5</v>
      </c>
      <c r="N15" s="277" t="s">
        <v>3</v>
      </c>
      <c r="O15" s="278" t="s">
        <v>6</v>
      </c>
      <c r="P15" s="279">
        <v>0</v>
      </c>
      <c r="Q15" s="280">
        <v>25</v>
      </c>
      <c r="R15" s="280">
        <v>50</v>
      </c>
      <c r="S15" s="281">
        <v>0</v>
      </c>
      <c r="T15" s="281">
        <v>50</v>
      </c>
      <c r="U15" s="282" t="s">
        <v>69</v>
      </c>
      <c r="V15" s="283">
        <v>0</v>
      </c>
      <c r="W15" s="283">
        <v>25</v>
      </c>
      <c r="X15" s="283">
        <v>250</v>
      </c>
      <c r="Y15" s="284">
        <v>0</v>
      </c>
      <c r="Z15" s="284">
        <v>50</v>
      </c>
      <c r="AA15" s="282" t="s">
        <v>69</v>
      </c>
    </row>
    <row r="16" spans="1:31" ht="15.75" customHeight="1" x14ac:dyDescent="0.25">
      <c r="A16" s="892">
        <v>240</v>
      </c>
      <c r="B16" s="285" t="s">
        <v>4</v>
      </c>
      <c r="C16" s="246">
        <v>-56.6</v>
      </c>
      <c r="D16" s="247">
        <v>165</v>
      </c>
      <c r="E16" s="286">
        <f>IF(OR(C16="",D16="", D16&lt;0),"---",        IF(AND(D16&gt;=O16,D16&gt;=ABS(C16)*M16),D16,"---"))</f>
        <v>165</v>
      </c>
      <c r="F16" s="287" t="e">
        <f>IF(OR(#REF!="", E16=""),"",(E16-#REF!*L16)^J16*(K16+E16*N16))</f>
        <v>#REF!</v>
      </c>
      <c r="G16" s="288">
        <f>IF(E16="---","---", (E16-ABS(C16)*L16)^J16*(K16+E16*N16))</f>
        <v>419.25182944513028</v>
      </c>
      <c r="H16" s="170">
        <v>420.3</v>
      </c>
      <c r="I16" s="211">
        <f>(H16-G16)/H16</f>
        <v>2.4938628476557879E-3</v>
      </c>
      <c r="J16" s="289">
        <v>0.51149999999999995</v>
      </c>
      <c r="K16" s="290">
        <v>30.7774</v>
      </c>
      <c r="L16" s="290">
        <v>0</v>
      </c>
      <c r="M16" s="290">
        <v>0.2</v>
      </c>
      <c r="N16" s="662">
        <v>0</v>
      </c>
      <c r="O16" s="664">
        <v>10</v>
      </c>
      <c r="P16" s="291">
        <f>IF($M16*P$15&gt;$O16, $M16*P$15, $O16)</f>
        <v>10</v>
      </c>
      <c r="Q16" s="292">
        <f>IF($M16*Q$15&gt;$O16, $M16*Q$15, $O16)</f>
        <v>10</v>
      </c>
      <c r="R16" s="292">
        <f>IF($M16*R$15&gt;$O16, $M16*R$15, $O16)</f>
        <v>10</v>
      </c>
      <c r="S16" s="293"/>
      <c r="T16" s="293"/>
      <c r="U16" s="293"/>
      <c r="V16" s="294">
        <f>(P$16-ABS(V$15)*$L16)^$J16*($K16+P$16*$N16)</f>
        <v>99.938293394953206</v>
      </c>
      <c r="W16" s="294">
        <f>(Q$16-ABS(W$15)*$L16)^$J16*($K16+Q$16*$N16)</f>
        <v>99.938293394953206</v>
      </c>
      <c r="X16" s="294">
        <f>(R$16-ABS(X$15)*$L16)^$J16*($K16+R$16*$N16)</f>
        <v>99.938293394953206</v>
      </c>
      <c r="Y16" s="295"/>
      <c r="Z16" s="295"/>
      <c r="AA16" s="295"/>
    </row>
    <row r="17" spans="1:36" ht="15.75" customHeight="1" x14ac:dyDescent="0.25">
      <c r="A17" s="893"/>
      <c r="B17" s="296" t="s">
        <v>51</v>
      </c>
      <c r="C17" s="248">
        <v>50.9</v>
      </c>
      <c r="D17" s="248">
        <v>41.5</v>
      </c>
      <c r="E17" s="297">
        <f>IF(OR(C17="",D17="", D17&lt;0),"---",        IF(AND(D17&gt;=O17,D17&gt;=ABS(C17)*M17),D17,"---"))</f>
        <v>41.5</v>
      </c>
      <c r="F17" s="298" t="e">
        <f>IF(OR(#REF!="", E17=""),"",(E17-#REF!*L17)^J17*(K17+E17*N17))</f>
        <v>#REF!</v>
      </c>
      <c r="G17" s="299">
        <f>IF(E17="---","---", (E17-ABS(C17)*L17)^J17*(K17+E17*N17))</f>
        <v>44.473204480756834</v>
      </c>
      <c r="H17" s="167">
        <v>44.53</v>
      </c>
      <c r="I17" s="212">
        <f>(H17-G17)/H17</f>
        <v>1.2754439533610338E-3</v>
      </c>
      <c r="J17" s="300">
        <v>0.54149999999999998</v>
      </c>
      <c r="K17" s="301">
        <v>5.9146000000000001</v>
      </c>
      <c r="L17" s="301">
        <v>0</v>
      </c>
      <c r="M17" s="301">
        <v>0.5</v>
      </c>
      <c r="N17" s="428">
        <v>0</v>
      </c>
      <c r="O17" s="665">
        <v>25</v>
      </c>
      <c r="P17" s="291">
        <f t="shared" ref="P17:R18" si="0">IF($M17*P$15&gt;$O17, $M17*P$15, $O17)</f>
        <v>25</v>
      </c>
      <c r="Q17" s="292">
        <f t="shared" si="0"/>
        <v>25</v>
      </c>
      <c r="R17" s="302">
        <f t="shared" si="0"/>
        <v>25</v>
      </c>
      <c r="S17" s="303"/>
      <c r="T17" s="303"/>
      <c r="U17" s="304"/>
      <c r="V17" s="305">
        <f>(P$17-ABS(V$15)*$L17)^$J17*($K17+P$17*$N17)</f>
        <v>33.79947026141047</v>
      </c>
      <c r="W17" s="305">
        <f>(Q$17-ABS(W$15)*$L17)^$J17*($K17+Q$17*$N17)</f>
        <v>33.79947026141047</v>
      </c>
      <c r="X17" s="306">
        <f>(R$17-ABS(X$15)*$L17)^$J17*($K17+R$17*$N17)</f>
        <v>33.79947026141047</v>
      </c>
      <c r="Y17" s="307"/>
      <c r="Z17" s="307"/>
      <c r="AA17" s="307"/>
    </row>
    <row r="18" spans="1:36" ht="15.75" customHeight="1" thickBot="1" x14ac:dyDescent="0.3">
      <c r="A18" s="894"/>
      <c r="B18" s="308" t="s">
        <v>52</v>
      </c>
      <c r="C18" s="249">
        <v>50.9</v>
      </c>
      <c r="D18" s="249">
        <v>41.5</v>
      </c>
      <c r="E18" s="309">
        <f>IF(OR(C18="",D18="", D18&lt;0),"---",        IF(AND(D18&gt;=O18,D18&gt;=ABS(C18)*M18),D18,"---"))</f>
        <v>41.5</v>
      </c>
      <c r="F18" s="310" t="e">
        <f>IF(OR(#REF!="", E18=""),"",(E18-#REF!*L18)^J18*(K18+E18*N18))</f>
        <v>#REF!</v>
      </c>
      <c r="G18" s="311">
        <f>IF(E18="---","---", (E18-ABS(C18)*L18)^J18*(K18+E18*N18))</f>
        <v>9.9448312595385442</v>
      </c>
      <c r="H18" s="173">
        <v>9.9610000000000003</v>
      </c>
      <c r="I18" s="213">
        <f>(H18-G18)/H18</f>
        <v>1.6232045438666911E-3</v>
      </c>
      <c r="J18" s="312">
        <v>0.61250000000000004</v>
      </c>
      <c r="K18" s="313">
        <v>1.0056</v>
      </c>
      <c r="L18" s="313">
        <v>-2.4E-2</v>
      </c>
      <c r="M18" s="313">
        <v>0.5</v>
      </c>
      <c r="N18" s="576">
        <v>-2.0000000000000001E-4</v>
      </c>
      <c r="O18" s="666">
        <v>25</v>
      </c>
      <c r="P18" s="314">
        <f t="shared" si="0"/>
        <v>25</v>
      </c>
      <c r="Q18" s="315">
        <f t="shared" si="0"/>
        <v>25</v>
      </c>
      <c r="R18" s="316">
        <f t="shared" si="0"/>
        <v>25</v>
      </c>
      <c r="S18" s="317"/>
      <c r="T18" s="317"/>
      <c r="U18" s="318"/>
      <c r="V18" s="319">
        <f>(P$18-ABS(V$15)*$L18)^$J18*($K18+P$18*$N18)</f>
        <v>7.1861909641091444</v>
      </c>
      <c r="W18" s="319">
        <f>(Q$18-ABS(W$15)*$L18)^$J18*($K18+Q$18*$N18)</f>
        <v>7.2913421347940437</v>
      </c>
      <c r="X18" s="320">
        <f>(R$18-ABS(X$15)*$L18)^$J18*($K18+R$18*$N18)</f>
        <v>8.1982193874571863</v>
      </c>
      <c r="Y18" s="321"/>
      <c r="Z18" s="321"/>
      <c r="AA18" s="321"/>
    </row>
    <row r="19" spans="1:36" ht="15.75" customHeight="1" thickBot="1" x14ac:dyDescent="0.3">
      <c r="C19" s="322"/>
      <c r="D19" s="269"/>
      <c r="E19" s="323"/>
      <c r="F19" s="324"/>
      <c r="G19" s="325"/>
      <c r="H19" s="672"/>
      <c r="I19" s="672"/>
      <c r="J19" s="326"/>
      <c r="K19" s="327"/>
      <c r="L19" s="327"/>
      <c r="M19" s="327"/>
      <c r="N19" s="327"/>
      <c r="O19" s="328"/>
      <c r="P19" s="329"/>
      <c r="Q19" s="330"/>
      <c r="R19" s="331"/>
      <c r="S19" s="332"/>
      <c r="T19" s="333"/>
      <c r="U19" s="333"/>
      <c r="V19" s="332"/>
      <c r="W19" s="334"/>
      <c r="X19" s="334"/>
      <c r="Y19" s="335"/>
      <c r="Z19" s="334"/>
      <c r="AA19" s="336"/>
      <c r="AB19" s="337"/>
    </row>
    <row r="20" spans="1:36" ht="15.75" customHeight="1" x14ac:dyDescent="0.25">
      <c r="A20" s="892">
        <v>300</v>
      </c>
      <c r="B20" s="285" t="s">
        <v>4</v>
      </c>
      <c r="C20" s="246">
        <v>-56.6</v>
      </c>
      <c r="D20" s="247">
        <v>165</v>
      </c>
      <c r="E20" s="286">
        <f>IF(OR(C20="",D20="", D20&lt;0),"---",        IF(AND(D20&gt;=O20,D20&gt;=ABS(C20)*M20),D20,"---"))</f>
        <v>165</v>
      </c>
      <c r="F20" s="338" t="e">
        <f>IF(OR(#REF!="", E20=""),"",(E20-#REF!*L20)^J20*(K20+E20*N20))</f>
        <v>#REF!</v>
      </c>
      <c r="G20" s="339">
        <f>IF(E20="---","---", (E20-ABS(C20)*L20)^J20*(K20+E20*N20))</f>
        <v>373.25664466801567</v>
      </c>
      <c r="H20" s="170">
        <v>373.2</v>
      </c>
      <c r="I20" s="211">
        <f>(H20-G20)/H20</f>
        <v>-1.517809968265774E-4</v>
      </c>
      <c r="J20" s="340">
        <v>0.501</v>
      </c>
      <c r="K20" s="341">
        <v>28.91</v>
      </c>
      <c r="L20" s="341">
        <v>0</v>
      </c>
      <c r="M20" s="341">
        <v>0.4</v>
      </c>
      <c r="N20" s="565">
        <v>0</v>
      </c>
      <c r="O20" s="342">
        <v>20</v>
      </c>
      <c r="P20" s="291">
        <f>IF($M20*P$15&gt;$O20, $M20*P$15, $O20)</f>
        <v>20</v>
      </c>
      <c r="Q20" s="292">
        <f>IF($M20*Q$15&gt;$O20, $M20*Q$15, $O20)</f>
        <v>20</v>
      </c>
      <c r="R20" s="292">
        <f>IF($M20*R$15&gt;$O20, $M20*R$15, $O20)</f>
        <v>20</v>
      </c>
      <c r="S20" s="295">
        <v>740</v>
      </c>
      <c r="T20" s="295">
        <v>705</v>
      </c>
      <c r="U20" s="295">
        <v>272</v>
      </c>
      <c r="V20" s="343">
        <f t="shared" ref="V20:AA35" si="1">P20^$J20*$K20</f>
        <v>129.67734776655371</v>
      </c>
      <c r="W20" s="343">
        <f t="shared" si="1"/>
        <v>129.67734776655371</v>
      </c>
      <c r="X20" s="343">
        <f>R20^$J20*$K20</f>
        <v>129.67734776655371</v>
      </c>
      <c r="Y20" s="344">
        <f t="shared" si="1"/>
        <v>791.64994012443913</v>
      </c>
      <c r="Z20" s="344">
        <f t="shared" si="1"/>
        <v>772.66428686133622</v>
      </c>
      <c r="AA20" s="344">
        <f t="shared" si="1"/>
        <v>479.47626386019863</v>
      </c>
      <c r="AD20" s="345"/>
    </row>
    <row r="21" spans="1:36" ht="15" customHeight="1" x14ac:dyDescent="0.25">
      <c r="A21" s="893"/>
      <c r="B21" s="296">
        <v>102</v>
      </c>
      <c r="C21" s="248">
        <v>53</v>
      </c>
      <c r="D21" s="248">
        <v>435.5</v>
      </c>
      <c r="E21" s="323">
        <f t="shared" ref="E21:E27" si="2">IF(OR(C21="",D21="", D21&lt;0),"---",        IF(AND(D21&gt;=O21,D21&gt;=ABS(C21)*M21),D21,"---"))</f>
        <v>435.5</v>
      </c>
      <c r="F21" s="298" t="e">
        <f>IF(OR(#REF!="", E21=""),"",(E21-#REF!*L21)^J21*(K21+E21*N21))</f>
        <v>#REF!</v>
      </c>
      <c r="G21" s="346">
        <f t="shared" ref="G21:G27" si="3">IF(E21="---","---", (E21-ABS(C21)*L21)^J21*(K21+E21*N21))</f>
        <v>385.82182563539175</v>
      </c>
      <c r="H21" s="167">
        <v>385.9</v>
      </c>
      <c r="I21" s="212">
        <f t="shared" ref="I21:I27" si="4">(H21-G21)/H21</f>
        <v>2.0257674166424065E-4</v>
      </c>
      <c r="J21" s="347">
        <v>0.59</v>
      </c>
      <c r="K21" s="348">
        <v>10.7</v>
      </c>
      <c r="L21" s="349">
        <v>0</v>
      </c>
      <c r="M21" s="349">
        <v>0.4</v>
      </c>
      <c r="N21" s="569">
        <v>0</v>
      </c>
      <c r="O21" s="350">
        <v>100</v>
      </c>
      <c r="P21" s="336">
        <f t="shared" ref="P21:R27" si="5">IF($M21*P$15&gt;$O21, $M21*P$15, $O21)</f>
        <v>100</v>
      </c>
      <c r="Q21" s="351">
        <f t="shared" si="5"/>
        <v>100</v>
      </c>
      <c r="R21" s="335">
        <f t="shared" si="5"/>
        <v>100</v>
      </c>
      <c r="S21" s="352">
        <v>760</v>
      </c>
      <c r="T21" s="352">
        <v>740</v>
      </c>
      <c r="U21" s="353">
        <v>695</v>
      </c>
      <c r="V21" s="354">
        <f t="shared" si="1"/>
        <v>161.95105358267432</v>
      </c>
      <c r="W21" s="354">
        <f t="shared" si="1"/>
        <v>161.95105358267432</v>
      </c>
      <c r="X21" s="355">
        <f t="shared" si="1"/>
        <v>161.95105358267432</v>
      </c>
      <c r="Y21" s="356">
        <f t="shared" si="1"/>
        <v>535.87537092484104</v>
      </c>
      <c r="Z21" s="356">
        <f t="shared" si="1"/>
        <v>527.50975144172617</v>
      </c>
      <c r="AA21" s="356">
        <f t="shared" si="1"/>
        <v>508.34061779084954</v>
      </c>
      <c r="AD21" s="345"/>
    </row>
    <row r="22" spans="1:36" ht="15" customHeight="1" x14ac:dyDescent="0.25">
      <c r="A22" s="893"/>
      <c r="B22" s="357">
        <v>74</v>
      </c>
      <c r="C22" s="248">
        <v>53</v>
      </c>
      <c r="D22" s="248">
        <v>435.5</v>
      </c>
      <c r="E22" s="358">
        <f t="shared" si="2"/>
        <v>435.5</v>
      </c>
      <c r="F22" s="298" t="e">
        <f>IF(OR(#REF!="", E22=""),"",(E22-#REF!*L22)^J22*(K22+E22*N22))</f>
        <v>#REF!</v>
      </c>
      <c r="G22" s="346">
        <f t="shared" si="3"/>
        <v>151.78830470578302</v>
      </c>
      <c r="H22" s="167">
        <v>151.80000000000001</v>
      </c>
      <c r="I22" s="212">
        <f t="shared" si="4"/>
        <v>7.7044098926163827E-5</v>
      </c>
      <c r="J22" s="300">
        <v>0.50449999999999995</v>
      </c>
      <c r="K22" s="359">
        <v>7.0773192087114243</v>
      </c>
      <c r="L22" s="301">
        <v>0</v>
      </c>
      <c r="M22" s="301">
        <v>0.25</v>
      </c>
      <c r="N22" s="428">
        <v>0</v>
      </c>
      <c r="O22" s="350">
        <v>15</v>
      </c>
      <c r="P22" s="360">
        <f t="shared" si="5"/>
        <v>15</v>
      </c>
      <c r="Q22" s="361">
        <f t="shared" si="5"/>
        <v>15</v>
      </c>
      <c r="R22" s="362">
        <f t="shared" si="5"/>
        <v>15</v>
      </c>
      <c r="S22" s="363">
        <v>760</v>
      </c>
      <c r="T22" s="363">
        <v>500</v>
      </c>
      <c r="U22" s="364">
        <v>330</v>
      </c>
      <c r="V22" s="365">
        <f t="shared" si="1"/>
        <v>27.746411586175977</v>
      </c>
      <c r="W22" s="365">
        <f t="shared" si="1"/>
        <v>27.746411586175977</v>
      </c>
      <c r="X22" s="366">
        <f t="shared" si="1"/>
        <v>27.746411586175977</v>
      </c>
      <c r="Y22" s="367">
        <f t="shared" si="1"/>
        <v>201.01998736756497</v>
      </c>
      <c r="Z22" s="367">
        <f t="shared" si="1"/>
        <v>162.74181351150361</v>
      </c>
      <c r="AA22" s="367">
        <f t="shared" si="1"/>
        <v>131.96509256397226</v>
      </c>
      <c r="AB22" s="368">
        <v>1026580</v>
      </c>
      <c r="AD22" s="345"/>
    </row>
    <row r="23" spans="1:36" ht="15" customHeight="1" x14ac:dyDescent="0.25">
      <c r="A23" s="893"/>
      <c r="B23" s="357">
        <v>47</v>
      </c>
      <c r="C23" s="248">
        <v>53</v>
      </c>
      <c r="D23" s="248">
        <v>435.5</v>
      </c>
      <c r="E23" s="323">
        <f t="shared" si="2"/>
        <v>435.5</v>
      </c>
      <c r="F23" s="298" t="e">
        <f>IF(OR(#REF!="", E23=""),"",(E23-#REF!*L23)^J23*(K23+E23*N23))</f>
        <v>#REF!</v>
      </c>
      <c r="G23" s="346">
        <f t="shared" si="3"/>
        <v>67.63391491945508</v>
      </c>
      <c r="H23" s="167">
        <v>67.650000000000006</v>
      </c>
      <c r="I23" s="212">
        <f t="shared" si="4"/>
        <v>2.3776911374613074E-4</v>
      </c>
      <c r="J23" s="369">
        <v>0.5</v>
      </c>
      <c r="K23" s="359">
        <v>3.2409359420275905</v>
      </c>
      <c r="L23" s="301">
        <v>0</v>
      </c>
      <c r="M23" s="301">
        <v>0.1</v>
      </c>
      <c r="N23" s="428">
        <v>0</v>
      </c>
      <c r="O23" s="350">
        <v>10</v>
      </c>
      <c r="P23" s="360">
        <f t="shared" si="5"/>
        <v>10</v>
      </c>
      <c r="Q23" s="361">
        <f t="shared" si="5"/>
        <v>10</v>
      </c>
      <c r="R23" s="362">
        <f t="shared" si="5"/>
        <v>10</v>
      </c>
      <c r="S23" s="363">
        <v>730</v>
      </c>
      <c r="T23" s="363">
        <v>650</v>
      </c>
      <c r="U23" s="364">
        <v>415</v>
      </c>
      <c r="V23" s="365">
        <f t="shared" si="1"/>
        <v>10.248739327510611</v>
      </c>
      <c r="W23" s="365">
        <f>Q23^$J23*$K23</f>
        <v>10.248739327510611</v>
      </c>
      <c r="X23" s="366">
        <f t="shared" si="1"/>
        <v>10.248739327510611</v>
      </c>
      <c r="Y23" s="367">
        <f t="shared" si="1"/>
        <v>87.565267199033741</v>
      </c>
      <c r="Z23" s="367">
        <f t="shared" si="1"/>
        <v>82.627978053514497</v>
      </c>
      <c r="AA23" s="367">
        <f t="shared" si="1"/>
        <v>66.02288466005858</v>
      </c>
      <c r="AB23" s="270">
        <v>1000962</v>
      </c>
      <c r="AD23" s="345"/>
    </row>
    <row r="24" spans="1:36" ht="15" customHeight="1" x14ac:dyDescent="0.25">
      <c r="A24" s="893"/>
      <c r="B24" s="357">
        <v>29</v>
      </c>
      <c r="C24" s="248">
        <v>53</v>
      </c>
      <c r="D24" s="248">
        <v>435.5</v>
      </c>
      <c r="E24" s="358">
        <f t="shared" si="2"/>
        <v>435.5</v>
      </c>
      <c r="F24" s="298" t="e">
        <f>IF(OR(#REF!="", E24=""),"",(E24-#REF!*L24)^J24*(K24+E24*N24))</f>
        <v>#REF!</v>
      </c>
      <c r="G24" s="370">
        <f t="shared" si="3"/>
        <v>25.142601525054424</v>
      </c>
      <c r="H24" s="167">
        <v>25.14</v>
      </c>
      <c r="I24" s="212">
        <f t="shared" si="4"/>
        <v>-1.0348150574476326E-4</v>
      </c>
      <c r="J24" s="369">
        <v>0.502</v>
      </c>
      <c r="K24" s="359">
        <v>1.1902499077349771</v>
      </c>
      <c r="L24" s="301">
        <v>0</v>
      </c>
      <c r="M24" s="301">
        <v>0.2</v>
      </c>
      <c r="N24" s="428">
        <v>0</v>
      </c>
      <c r="O24" s="350">
        <v>20</v>
      </c>
      <c r="P24" s="360">
        <f t="shared" si="5"/>
        <v>20</v>
      </c>
      <c r="Q24" s="361">
        <f t="shared" si="5"/>
        <v>20</v>
      </c>
      <c r="R24" s="362">
        <f t="shared" si="5"/>
        <v>20</v>
      </c>
      <c r="S24" s="363">
        <v>730</v>
      </c>
      <c r="T24" s="363">
        <v>690</v>
      </c>
      <c r="U24" s="371">
        <v>425.73199093128164</v>
      </c>
      <c r="V24" s="365">
        <f t="shared" si="1"/>
        <v>5.3549474623502169</v>
      </c>
      <c r="W24" s="365">
        <f t="shared" si="1"/>
        <v>5.3549474623502169</v>
      </c>
      <c r="X24" s="366">
        <f t="shared" si="1"/>
        <v>5.3549474623502169</v>
      </c>
      <c r="Y24" s="367">
        <f t="shared" si="1"/>
        <v>32.58563827896009</v>
      </c>
      <c r="Z24" s="367">
        <f t="shared" si="1"/>
        <v>31.676734170059309</v>
      </c>
      <c r="AA24" s="367">
        <f t="shared" si="1"/>
        <v>24.857907747098437</v>
      </c>
      <c r="AB24" s="270">
        <v>1000986</v>
      </c>
      <c r="AD24" s="345"/>
    </row>
    <row r="25" spans="1:36" ht="15" customHeight="1" x14ac:dyDescent="0.25">
      <c r="A25" s="893"/>
      <c r="B25" s="357">
        <v>18</v>
      </c>
      <c r="C25" s="248">
        <v>53</v>
      </c>
      <c r="D25" s="248">
        <v>435.5</v>
      </c>
      <c r="E25" s="323">
        <f t="shared" si="2"/>
        <v>435.5</v>
      </c>
      <c r="F25" s="372" t="e">
        <f>IF(OR(#REF!="", E25=""),"",(E25-#REF!*L25)^J25*(K25+E25*N25))</f>
        <v>#REF!</v>
      </c>
      <c r="G25" s="373">
        <f t="shared" si="3"/>
        <v>9.4791913809622681</v>
      </c>
      <c r="H25" s="167">
        <v>9.4809999999999999</v>
      </c>
      <c r="I25" s="212">
        <f t="shared" si="4"/>
        <v>1.9076247629277223E-4</v>
      </c>
      <c r="J25" s="300">
        <v>0.499</v>
      </c>
      <c r="K25" s="301">
        <v>0.45700000000000002</v>
      </c>
      <c r="L25" s="301">
        <v>0</v>
      </c>
      <c r="M25" s="301">
        <v>0.25</v>
      </c>
      <c r="N25" s="428">
        <v>0</v>
      </c>
      <c r="O25" s="350">
        <v>25</v>
      </c>
      <c r="P25" s="360">
        <f t="shared" si="5"/>
        <v>25</v>
      </c>
      <c r="Q25" s="361">
        <f t="shared" si="5"/>
        <v>25</v>
      </c>
      <c r="R25" s="362">
        <f t="shared" si="5"/>
        <v>25</v>
      </c>
      <c r="S25" s="363">
        <v>730</v>
      </c>
      <c r="T25" s="363">
        <v>690</v>
      </c>
      <c r="U25" s="371">
        <v>472.30751104175147</v>
      </c>
      <c r="V25" s="365">
        <f t="shared" si="1"/>
        <v>2.2776566936762075</v>
      </c>
      <c r="W25" s="365">
        <f t="shared" si="1"/>
        <v>2.2776566936762075</v>
      </c>
      <c r="X25" s="366">
        <f t="shared" si="1"/>
        <v>2.2776566936762075</v>
      </c>
      <c r="Y25" s="367">
        <f t="shared" si="1"/>
        <v>12.266320480978111</v>
      </c>
      <c r="Z25" s="367">
        <f t="shared" si="1"/>
        <v>11.926194734198138</v>
      </c>
      <c r="AA25" s="374">
        <f t="shared" si="1"/>
        <v>9.8708465677731372</v>
      </c>
      <c r="AB25" s="270">
        <v>1000405</v>
      </c>
      <c r="AD25" s="345"/>
    </row>
    <row r="26" spans="1:36" ht="15" customHeight="1" x14ac:dyDescent="0.25">
      <c r="A26" s="893"/>
      <c r="B26" s="357">
        <v>11</v>
      </c>
      <c r="C26" s="248">
        <v>53</v>
      </c>
      <c r="D26" s="248">
        <v>435.5</v>
      </c>
      <c r="E26" s="358">
        <f t="shared" si="2"/>
        <v>435.5</v>
      </c>
      <c r="F26" s="372" t="e">
        <f>IF(OR(#REF!="", E26=""),"",(E26-#REF!*L26)^J26*(K26+E26*N26))</f>
        <v>#REF!</v>
      </c>
      <c r="G26" s="375">
        <f t="shared" si="3"/>
        <v>3.8439493050148141</v>
      </c>
      <c r="H26" s="167">
        <v>3.8450000000000002</v>
      </c>
      <c r="I26" s="212">
        <f t="shared" si="4"/>
        <v>2.732626749508615E-4</v>
      </c>
      <c r="J26" s="369">
        <v>0.48</v>
      </c>
      <c r="K26" s="376">
        <v>0.20799999999999999</v>
      </c>
      <c r="L26" s="301">
        <v>0</v>
      </c>
      <c r="M26" s="301">
        <v>0.25</v>
      </c>
      <c r="N26" s="428">
        <v>0</v>
      </c>
      <c r="O26" s="350">
        <v>25</v>
      </c>
      <c r="P26" s="360">
        <f t="shared" si="5"/>
        <v>25</v>
      </c>
      <c r="Q26" s="361">
        <f t="shared" si="5"/>
        <v>25</v>
      </c>
      <c r="R26" s="362">
        <f t="shared" si="5"/>
        <v>25</v>
      </c>
      <c r="S26" s="363">
        <v>730</v>
      </c>
      <c r="T26" s="363">
        <v>690</v>
      </c>
      <c r="U26" s="371">
        <v>478.75696062461873</v>
      </c>
      <c r="V26" s="365">
        <f t="shared" si="1"/>
        <v>0.97515699216209595</v>
      </c>
      <c r="W26" s="365">
        <f t="shared" si="1"/>
        <v>0.97515699216209595</v>
      </c>
      <c r="X26" s="366">
        <f t="shared" si="1"/>
        <v>0.97515699216209595</v>
      </c>
      <c r="Y26" s="374">
        <f t="shared" si="1"/>
        <v>4.9255905551350345</v>
      </c>
      <c r="Z26" s="374">
        <f t="shared" si="1"/>
        <v>4.7941420557592593</v>
      </c>
      <c r="AA26" s="374">
        <f t="shared" si="1"/>
        <v>4.0227086887717949</v>
      </c>
      <c r="AB26" s="270">
        <v>1000481</v>
      </c>
      <c r="AD26" s="345"/>
    </row>
    <row r="27" spans="1:36" ht="15.75" customHeight="1" thickBot="1" x14ac:dyDescent="0.3">
      <c r="A27" s="894"/>
      <c r="B27" s="377">
        <v>7</v>
      </c>
      <c r="C27" s="252">
        <v>53</v>
      </c>
      <c r="D27" s="252">
        <v>435.5</v>
      </c>
      <c r="E27" s="309">
        <f t="shared" si="2"/>
        <v>435.5</v>
      </c>
      <c r="F27" s="378" t="e">
        <f>IF(OR(#REF!="", E27=""),"",(E27-#REF!*L27)^J27*(K27+E27*N27))</f>
        <v>#REF!</v>
      </c>
      <c r="G27" s="379">
        <f t="shared" si="3"/>
        <v>1.4983681189881211</v>
      </c>
      <c r="H27" s="173">
        <v>1.4990000000000001</v>
      </c>
      <c r="I27" s="213">
        <f t="shared" si="4"/>
        <v>4.2153503127355174E-4</v>
      </c>
      <c r="J27" s="380">
        <v>0.5</v>
      </c>
      <c r="K27" s="381">
        <v>7.1800000000000003E-2</v>
      </c>
      <c r="L27" s="381">
        <v>0</v>
      </c>
      <c r="M27" s="381">
        <v>0.11</v>
      </c>
      <c r="N27" s="434">
        <v>0</v>
      </c>
      <c r="O27" s="382">
        <v>25</v>
      </c>
      <c r="P27" s="314">
        <f t="shared" si="5"/>
        <v>25</v>
      </c>
      <c r="Q27" s="315">
        <f t="shared" si="5"/>
        <v>25</v>
      </c>
      <c r="R27" s="316">
        <f t="shared" si="5"/>
        <v>25</v>
      </c>
      <c r="S27" s="321">
        <v>730</v>
      </c>
      <c r="T27" s="321">
        <v>690</v>
      </c>
      <c r="U27" s="383">
        <v>479.80761949161706</v>
      </c>
      <c r="V27" s="384">
        <f t="shared" si="1"/>
        <v>0.35899999999999999</v>
      </c>
      <c r="W27" s="384">
        <f t="shared" si="1"/>
        <v>0.35899999999999999</v>
      </c>
      <c r="X27" s="385">
        <f t="shared" si="1"/>
        <v>0.35899999999999999</v>
      </c>
      <c r="Y27" s="386">
        <f t="shared" si="1"/>
        <v>1.9399291739648641</v>
      </c>
      <c r="Z27" s="386">
        <f t="shared" si="1"/>
        <v>1.886031707050547</v>
      </c>
      <c r="AA27" s="386">
        <f t="shared" si="1"/>
        <v>1.5727439182231684</v>
      </c>
      <c r="AB27" s="270">
        <v>1003185</v>
      </c>
      <c r="AD27" s="345"/>
    </row>
    <row r="28" spans="1:36" ht="15.75" thickBot="1" x14ac:dyDescent="0.3">
      <c r="C28" s="322"/>
      <c r="D28" s="269"/>
      <c r="E28" s="387"/>
      <c r="F28" s="324"/>
      <c r="G28" s="388"/>
      <c r="H28" s="673"/>
      <c r="I28" s="673"/>
      <c r="J28" s="389"/>
      <c r="K28" s="327"/>
      <c r="L28" s="327"/>
      <c r="M28" s="327"/>
      <c r="N28" s="327"/>
      <c r="O28" s="328"/>
      <c r="P28" s="269"/>
      <c r="Q28" s="269"/>
      <c r="R28" s="269"/>
      <c r="S28" s="335"/>
      <c r="T28" s="334"/>
      <c r="U28" s="334"/>
      <c r="V28" s="355"/>
      <c r="W28" s="390"/>
      <c r="X28" s="390"/>
      <c r="Y28" s="391"/>
      <c r="Z28" s="392"/>
      <c r="AA28" s="393"/>
      <c r="AB28" s="337"/>
      <c r="AH28" s="636" t="s">
        <v>82</v>
      </c>
      <c r="AI28" s="636" t="s">
        <v>83</v>
      </c>
      <c r="AJ28" s="636" t="s">
        <v>80</v>
      </c>
    </row>
    <row r="29" spans="1:36" x14ac:dyDescent="0.25">
      <c r="A29" s="884">
        <v>340</v>
      </c>
      <c r="B29" s="394" t="s">
        <v>4</v>
      </c>
      <c r="C29" s="246">
        <v>53</v>
      </c>
      <c r="D29" s="247">
        <v>435.5</v>
      </c>
      <c r="E29" s="286">
        <f>IF(OR(C29="",D29="", D29&lt;0),"---",        IF(AND(C29&gt;0, D29&gt;=O29,D29&gt;=ABS(C29)*M29),D29,"---"))</f>
        <v>435.5</v>
      </c>
      <c r="F29" s="395" t="e">
        <f>IF(OR(#REF!="", E29=""),"",(E29-#REF!*L29)^J29*(K29+E29*N29))</f>
        <v>#REF!</v>
      </c>
      <c r="G29" s="288">
        <f t="shared" ref="G29:G37" si="6">IF(E29="---","---", (E29-ABS(C29)*L29)^J29*(K29+E29*N29))</f>
        <v>606.98947344345243</v>
      </c>
      <c r="H29" s="170">
        <v>607.1</v>
      </c>
      <c r="I29" s="211">
        <f>(H29-G29)/H29</f>
        <v>1.8205659124954283E-4</v>
      </c>
      <c r="J29" s="396">
        <v>0.501</v>
      </c>
      <c r="K29" s="397">
        <v>28.91</v>
      </c>
      <c r="L29" s="397">
        <v>0</v>
      </c>
      <c r="M29" s="397">
        <v>0.4</v>
      </c>
      <c r="N29" s="663">
        <v>0</v>
      </c>
      <c r="O29" s="398">
        <v>20</v>
      </c>
      <c r="P29" s="399">
        <f>IF($M29*P$15&gt;$O29, $M29*P$15, $O29)</f>
        <v>20</v>
      </c>
      <c r="Q29" s="400">
        <f>IF($M29*Q$15&gt;$O29, $M29*Q$15, $O29)</f>
        <v>20</v>
      </c>
      <c r="R29" s="401">
        <f>IF($M29*R$15&gt;$O29, $M29*R$15, $O29)</f>
        <v>20</v>
      </c>
      <c r="S29" s="402">
        <v>740</v>
      </c>
      <c r="T29" s="402">
        <v>705</v>
      </c>
      <c r="U29" s="403">
        <v>272</v>
      </c>
      <c r="V29" s="404">
        <f t="shared" si="1"/>
        <v>129.67734776655371</v>
      </c>
      <c r="W29" s="404">
        <f t="shared" si="1"/>
        <v>129.67734776655371</v>
      </c>
      <c r="X29" s="405">
        <f t="shared" si="1"/>
        <v>129.67734776655371</v>
      </c>
      <c r="Y29" s="406">
        <f t="shared" si="1"/>
        <v>791.64994012443913</v>
      </c>
      <c r="Z29" s="406">
        <f t="shared" si="1"/>
        <v>772.66428686133622</v>
      </c>
      <c r="AA29" s="406">
        <f t="shared" si="1"/>
        <v>479.47626386019863</v>
      </c>
      <c r="AH29" s="637">
        <f>IF('Flow charts'!$A$7=$P$15,Y29, IF('Flow charts'!$A$7=$Q$15,Z29, IF('Flow charts'!$A$7=$R$15,AA29,"SELECT BP")))</f>
        <v>479.47626386019863</v>
      </c>
      <c r="AI29" s="637">
        <f>IF('Flow charts'!$A$7=$P$15,V29, IF('Flow charts'!$A$7=$Q$15,W29, IF('Flow charts'!$A$7=$R$15,X29,"SELECT BP")))</f>
        <v>129.67734776655371</v>
      </c>
      <c r="AJ29" s="637">
        <f>AH29-AI29</f>
        <v>349.79891609364495</v>
      </c>
    </row>
    <row r="30" spans="1:36" ht="15" customHeight="1" x14ac:dyDescent="0.25">
      <c r="A30" s="885"/>
      <c r="B30" s="407" t="s">
        <v>78</v>
      </c>
      <c r="C30" s="248">
        <v>-56.6</v>
      </c>
      <c r="D30" s="248">
        <v>165</v>
      </c>
      <c r="E30" s="323">
        <f>IF(OR(C30="",D30="", D30&lt;0),"---",        IF(AND(C30&lt;0, D30&gt;=O30,D30&gt;=ABS(C30)*M30),D30,"---"))</f>
        <v>165</v>
      </c>
      <c r="F30" s="408" t="e">
        <f>IF(OR(#REF!="", E30=""),"",(E30-#REF!*L30)^J30*(K30+E30*N30))</f>
        <v>#REF!</v>
      </c>
      <c r="G30" s="370">
        <f t="shared" si="6"/>
        <v>384.45434400805613</v>
      </c>
      <c r="H30" s="167">
        <v>384.4</v>
      </c>
      <c r="I30" s="212">
        <f t="shared" ref="I30:I37" si="7">(H30-G30)/H30</f>
        <v>-1.4137359015647279E-4</v>
      </c>
      <c r="J30" s="409">
        <v>0.501</v>
      </c>
      <c r="K30" s="410">
        <v>29.7773</v>
      </c>
      <c r="L30" s="411">
        <v>0</v>
      </c>
      <c r="M30" s="411">
        <v>0.4</v>
      </c>
      <c r="N30" s="493">
        <v>0</v>
      </c>
      <c r="O30" s="667">
        <v>20</v>
      </c>
      <c r="P30" s="412">
        <f t="shared" ref="P30:P37" si="8">IF($M30*P$15&gt;$O30, $M30*P$15, $O30)</f>
        <v>20</v>
      </c>
      <c r="Q30" s="413">
        <v>20</v>
      </c>
      <c r="R30" s="414">
        <f t="shared" ref="R30:R37" si="9">IF($M30*R$15&gt;$O30, $M30*R$15, $O30)</f>
        <v>20</v>
      </c>
      <c r="S30" s="415">
        <v>700</v>
      </c>
      <c r="T30" s="415">
        <v>665</v>
      </c>
      <c r="U30" s="416">
        <v>640</v>
      </c>
      <c r="V30" s="417">
        <f t="shared" si="1"/>
        <v>133.56766819955033</v>
      </c>
      <c r="W30" s="417">
        <f t="shared" si="1"/>
        <v>133.56766819955033</v>
      </c>
      <c r="X30" s="418">
        <f t="shared" si="1"/>
        <v>133.56766819955033</v>
      </c>
      <c r="Y30" s="419">
        <f t="shared" si="1"/>
        <v>793.01140698395716</v>
      </c>
      <c r="Z30" s="419">
        <f t="shared" si="1"/>
        <v>772.89226448881334</v>
      </c>
      <c r="AA30" s="419">
        <f t="shared" si="1"/>
        <v>758.19599030081952</v>
      </c>
      <c r="AH30" s="637">
        <f>IF('Flow charts'!$A$7=$P$15,Y30, IF('Flow charts'!$A$7=$Q$15,Z30, IF('Flow charts'!$A$7=$R$15,AA30,"SELECT BP")))</f>
        <v>758.19599030081952</v>
      </c>
      <c r="AI30" s="637">
        <f>IF('Flow charts'!$A$7=$P$15,V30, IF('Flow charts'!$A$7=$Q$15,W30, IF('Flow charts'!$A$7=$R$15,X30,"SELECT BP")))</f>
        <v>133.56766819955033</v>
      </c>
      <c r="AJ30" s="637">
        <f>AH30-AI30</f>
        <v>624.62832210126919</v>
      </c>
    </row>
    <row r="31" spans="1:36" ht="15" customHeight="1" x14ac:dyDescent="0.25">
      <c r="A31" s="885"/>
      <c r="B31" s="296">
        <v>102</v>
      </c>
      <c r="C31" s="248">
        <v>53</v>
      </c>
      <c r="D31" s="248">
        <v>435.5</v>
      </c>
      <c r="E31" s="358">
        <f t="shared" ref="E31:E37" si="10">IF(OR(C31="",D31="", D31&lt;0),"---",        IF(AND(D31&gt;=O31,D31&gt;=ABS(C31)*M31),D31,"---"))</f>
        <v>435.5</v>
      </c>
      <c r="F31" s="298" t="e">
        <f>IF(OR(#REF!="", E31=""),"",(E31-#REF!*L31)^J31*(K31+E31*N31))</f>
        <v>#REF!</v>
      </c>
      <c r="G31" s="325">
        <f t="shared" si="6"/>
        <v>385.82182563539175</v>
      </c>
      <c r="H31" s="167">
        <v>385.9</v>
      </c>
      <c r="I31" s="212">
        <f t="shared" si="7"/>
        <v>2.0257674166424065E-4</v>
      </c>
      <c r="J31" s="347">
        <v>0.59</v>
      </c>
      <c r="K31" s="348">
        <v>10.7</v>
      </c>
      <c r="L31" s="349">
        <v>0</v>
      </c>
      <c r="M31" s="349">
        <v>0.4</v>
      </c>
      <c r="N31" s="569">
        <v>0</v>
      </c>
      <c r="O31" s="350">
        <v>100</v>
      </c>
      <c r="P31" s="420">
        <f t="shared" si="8"/>
        <v>100</v>
      </c>
      <c r="Q31" s="421">
        <v>100</v>
      </c>
      <c r="R31" s="422">
        <f t="shared" si="9"/>
        <v>100</v>
      </c>
      <c r="S31" s="423">
        <v>760</v>
      </c>
      <c r="T31" s="423">
        <v>740</v>
      </c>
      <c r="U31" s="424">
        <v>695</v>
      </c>
      <c r="V31" s="425">
        <f t="shared" si="1"/>
        <v>161.95105358267432</v>
      </c>
      <c r="W31" s="425">
        <f t="shared" si="1"/>
        <v>161.95105358267432</v>
      </c>
      <c r="X31" s="426">
        <f t="shared" si="1"/>
        <v>161.95105358267432</v>
      </c>
      <c r="Y31" s="427">
        <f t="shared" si="1"/>
        <v>535.87537092484104</v>
      </c>
      <c r="Z31" s="427">
        <f t="shared" si="1"/>
        <v>527.50975144172617</v>
      </c>
      <c r="AA31" s="427">
        <f t="shared" si="1"/>
        <v>508.34061779084954</v>
      </c>
      <c r="AH31" s="638"/>
      <c r="AI31" s="638"/>
      <c r="AJ31" s="637"/>
    </row>
    <row r="32" spans="1:36" ht="15" customHeight="1" x14ac:dyDescent="0.25">
      <c r="A32" s="885"/>
      <c r="B32" s="357">
        <v>74</v>
      </c>
      <c r="C32" s="248">
        <v>53</v>
      </c>
      <c r="D32" s="248">
        <v>435.5</v>
      </c>
      <c r="E32" s="323">
        <f t="shared" si="10"/>
        <v>435.5</v>
      </c>
      <c r="F32" s="408" t="e">
        <f>IF(OR(#REF!="", E32=""),"",(E32-#REF!*L32)^J32*(K32+E32*N32))</f>
        <v>#REF!</v>
      </c>
      <c r="G32" s="370">
        <f t="shared" si="6"/>
        <v>151.78830470578302</v>
      </c>
      <c r="H32" s="167">
        <v>151.80000000000001</v>
      </c>
      <c r="I32" s="212">
        <f t="shared" si="7"/>
        <v>7.7044098926163827E-5</v>
      </c>
      <c r="J32" s="300">
        <v>0.50449999999999995</v>
      </c>
      <c r="K32" s="359">
        <v>7.0773192087114243</v>
      </c>
      <c r="L32" s="301">
        <v>0</v>
      </c>
      <c r="M32" s="301">
        <v>0.25</v>
      </c>
      <c r="N32" s="428">
        <v>0</v>
      </c>
      <c r="O32" s="350">
        <v>15</v>
      </c>
      <c r="P32" s="360">
        <f t="shared" si="8"/>
        <v>15</v>
      </c>
      <c r="Q32" s="361">
        <v>15</v>
      </c>
      <c r="R32" s="362">
        <f t="shared" si="9"/>
        <v>15</v>
      </c>
      <c r="S32" s="363">
        <v>760</v>
      </c>
      <c r="T32" s="363">
        <v>500</v>
      </c>
      <c r="U32" s="364">
        <v>330</v>
      </c>
      <c r="V32" s="365">
        <f t="shared" si="1"/>
        <v>27.746411586175977</v>
      </c>
      <c r="W32" s="365">
        <f t="shared" si="1"/>
        <v>27.746411586175977</v>
      </c>
      <c r="X32" s="366">
        <f t="shared" si="1"/>
        <v>27.746411586175977</v>
      </c>
      <c r="Y32" s="367">
        <f t="shared" si="1"/>
        <v>201.01998736756497</v>
      </c>
      <c r="Z32" s="367">
        <f t="shared" si="1"/>
        <v>162.74181351150361</v>
      </c>
      <c r="AA32" s="367">
        <f t="shared" si="1"/>
        <v>131.96509256397226</v>
      </c>
      <c r="AH32" s="638"/>
      <c r="AI32" s="638"/>
      <c r="AJ32" s="637"/>
    </row>
    <row r="33" spans="1:36" ht="15" customHeight="1" x14ac:dyDescent="0.25">
      <c r="A33" s="885"/>
      <c r="B33" s="429">
        <v>47</v>
      </c>
      <c r="C33" s="248">
        <v>-56.6</v>
      </c>
      <c r="D33" s="248">
        <v>165</v>
      </c>
      <c r="E33" s="430">
        <f t="shared" si="10"/>
        <v>165</v>
      </c>
      <c r="F33" s="408" t="e">
        <f>IF(OR(#REF!="", E33=""),"",(E33-#REF!*L33)^J33*(K33+E33*N33))</f>
        <v>#REF!</v>
      </c>
      <c r="G33" s="370">
        <f t="shared" si="6"/>
        <v>41.630575947899565</v>
      </c>
      <c r="H33" s="167">
        <v>41.63</v>
      </c>
      <c r="I33" s="212">
        <f t="shared" si="7"/>
        <v>-1.3834924322912183E-5</v>
      </c>
      <c r="J33" s="369">
        <v>0.5</v>
      </c>
      <c r="K33" s="359">
        <v>3.2409359420275905</v>
      </c>
      <c r="L33" s="301">
        <v>0</v>
      </c>
      <c r="M33" s="301">
        <v>0.1</v>
      </c>
      <c r="N33" s="428">
        <v>0</v>
      </c>
      <c r="O33" s="350">
        <v>10</v>
      </c>
      <c r="P33" s="360">
        <f t="shared" si="8"/>
        <v>10</v>
      </c>
      <c r="Q33" s="361">
        <v>10</v>
      </c>
      <c r="R33" s="362">
        <f t="shared" si="9"/>
        <v>10</v>
      </c>
      <c r="S33" s="363">
        <v>730</v>
      </c>
      <c r="T33" s="363">
        <v>650</v>
      </c>
      <c r="U33" s="364">
        <v>415</v>
      </c>
      <c r="V33" s="365">
        <f t="shared" si="1"/>
        <v>10.248739327510611</v>
      </c>
      <c r="W33" s="365">
        <f t="shared" si="1"/>
        <v>10.248739327510611</v>
      </c>
      <c r="X33" s="366">
        <f t="shared" si="1"/>
        <v>10.248739327510611</v>
      </c>
      <c r="Y33" s="367">
        <f t="shared" si="1"/>
        <v>87.565267199033741</v>
      </c>
      <c r="Z33" s="367">
        <f t="shared" si="1"/>
        <v>82.627978053514497</v>
      </c>
      <c r="AA33" s="374">
        <f t="shared" si="1"/>
        <v>66.02288466005858</v>
      </c>
      <c r="AH33" s="638"/>
      <c r="AI33" s="638"/>
      <c r="AJ33" s="637"/>
    </row>
    <row r="34" spans="1:36" ht="15" customHeight="1" x14ac:dyDescent="0.25">
      <c r="A34" s="885"/>
      <c r="B34" s="431">
        <v>29</v>
      </c>
      <c r="C34" s="248">
        <v>53</v>
      </c>
      <c r="D34" s="248">
        <v>435.5</v>
      </c>
      <c r="E34" s="430">
        <f t="shared" si="10"/>
        <v>435.5</v>
      </c>
      <c r="F34" s="298" t="e">
        <f>IF(OR(#REF!="", E34=""),"",(E34-#REF!*L34)^J34*(K34+E34*N34))</f>
        <v>#REF!</v>
      </c>
      <c r="G34" s="432">
        <f t="shared" si="6"/>
        <v>25.142601525054424</v>
      </c>
      <c r="H34" s="167">
        <v>25.14</v>
      </c>
      <c r="I34" s="212">
        <f t="shared" si="7"/>
        <v>-1.0348150574476326E-4</v>
      </c>
      <c r="J34" s="369">
        <v>0.502</v>
      </c>
      <c r="K34" s="359">
        <v>1.1902499077349771</v>
      </c>
      <c r="L34" s="301">
        <v>0</v>
      </c>
      <c r="M34" s="301">
        <v>0.2</v>
      </c>
      <c r="N34" s="428">
        <v>0</v>
      </c>
      <c r="O34" s="350">
        <v>20</v>
      </c>
      <c r="P34" s="360">
        <f t="shared" si="8"/>
        <v>20</v>
      </c>
      <c r="Q34" s="361">
        <v>20</v>
      </c>
      <c r="R34" s="362">
        <f t="shared" si="9"/>
        <v>20</v>
      </c>
      <c r="S34" s="363">
        <v>730</v>
      </c>
      <c r="T34" s="363">
        <v>690</v>
      </c>
      <c r="U34" s="371">
        <v>425.73199093128164</v>
      </c>
      <c r="V34" s="365">
        <f t="shared" si="1"/>
        <v>5.3549474623502169</v>
      </c>
      <c r="W34" s="365">
        <f t="shared" si="1"/>
        <v>5.3549474623502169</v>
      </c>
      <c r="X34" s="366">
        <f t="shared" si="1"/>
        <v>5.3549474623502169</v>
      </c>
      <c r="Y34" s="374">
        <f t="shared" si="1"/>
        <v>32.58563827896009</v>
      </c>
      <c r="Z34" s="374">
        <f t="shared" si="1"/>
        <v>31.676734170059309</v>
      </c>
      <c r="AA34" s="374">
        <f t="shared" si="1"/>
        <v>24.857907747098437</v>
      </c>
      <c r="AH34" s="638"/>
      <c r="AI34" s="638"/>
      <c r="AJ34" s="637"/>
    </row>
    <row r="35" spans="1:36" ht="15" customHeight="1" x14ac:dyDescent="0.25">
      <c r="A35" s="885"/>
      <c r="B35" s="357">
        <v>18</v>
      </c>
      <c r="C35" s="248">
        <v>53</v>
      </c>
      <c r="D35" s="248">
        <v>435.5</v>
      </c>
      <c r="E35" s="430">
        <f t="shared" si="10"/>
        <v>435.5</v>
      </c>
      <c r="F35" s="298" t="e">
        <f>IF(OR(#REF!="", E35=""),"",(E35-#REF!*L35)^J35*(K35+E35*N35))</f>
        <v>#REF!</v>
      </c>
      <c r="G35" s="432">
        <f t="shared" si="6"/>
        <v>9.4791913809622681</v>
      </c>
      <c r="H35" s="167">
        <v>9.4809999999999999</v>
      </c>
      <c r="I35" s="212">
        <f t="shared" si="7"/>
        <v>1.9076247629277223E-4</v>
      </c>
      <c r="J35" s="300">
        <v>0.499</v>
      </c>
      <c r="K35" s="301">
        <v>0.45700000000000002</v>
      </c>
      <c r="L35" s="301">
        <v>0</v>
      </c>
      <c r="M35" s="301">
        <v>0.25</v>
      </c>
      <c r="N35" s="428">
        <v>0</v>
      </c>
      <c r="O35" s="350">
        <v>25</v>
      </c>
      <c r="P35" s="360">
        <f t="shared" si="8"/>
        <v>25</v>
      </c>
      <c r="Q35" s="361">
        <v>25</v>
      </c>
      <c r="R35" s="362">
        <f t="shared" si="9"/>
        <v>25</v>
      </c>
      <c r="S35" s="363">
        <v>730</v>
      </c>
      <c r="T35" s="363">
        <v>690</v>
      </c>
      <c r="U35" s="371">
        <v>472.30751104175147</v>
      </c>
      <c r="V35" s="365">
        <f t="shared" si="1"/>
        <v>2.2776566936762075</v>
      </c>
      <c r="W35" s="365">
        <f t="shared" si="1"/>
        <v>2.2776566936762075</v>
      </c>
      <c r="X35" s="366">
        <f t="shared" si="1"/>
        <v>2.2776566936762075</v>
      </c>
      <c r="Y35" s="374">
        <f t="shared" si="1"/>
        <v>12.266320480978111</v>
      </c>
      <c r="Z35" s="374">
        <f t="shared" si="1"/>
        <v>11.926194734198138</v>
      </c>
      <c r="AA35" s="374">
        <f t="shared" si="1"/>
        <v>9.8708465677731372</v>
      </c>
      <c r="AH35" s="638"/>
      <c r="AI35" s="638"/>
      <c r="AJ35" s="637"/>
    </row>
    <row r="36" spans="1:36" ht="15" customHeight="1" x14ac:dyDescent="0.25">
      <c r="A36" s="885"/>
      <c r="B36" s="357">
        <v>11</v>
      </c>
      <c r="C36" s="248">
        <v>53</v>
      </c>
      <c r="D36" s="248">
        <v>435.5</v>
      </c>
      <c r="E36" s="430">
        <f t="shared" si="10"/>
        <v>435.5</v>
      </c>
      <c r="F36" s="298" t="e">
        <f>IF(OR(#REF!="", E36=""),"",(E36-#REF!*L36)^J36*(K36+E36*N36))</f>
        <v>#REF!</v>
      </c>
      <c r="G36" s="373">
        <f t="shared" si="6"/>
        <v>3.8439493050148141</v>
      </c>
      <c r="H36" s="167">
        <v>3.8450000000000002</v>
      </c>
      <c r="I36" s="212">
        <f t="shared" si="7"/>
        <v>2.732626749508615E-4</v>
      </c>
      <c r="J36" s="369">
        <v>0.48</v>
      </c>
      <c r="K36" s="376">
        <v>0.20799999999999999</v>
      </c>
      <c r="L36" s="301">
        <v>0</v>
      </c>
      <c r="M36" s="301">
        <v>0.25</v>
      </c>
      <c r="N36" s="428">
        <v>0</v>
      </c>
      <c r="O36" s="350">
        <v>25</v>
      </c>
      <c r="P36" s="360">
        <f t="shared" si="8"/>
        <v>25</v>
      </c>
      <c r="Q36" s="361">
        <v>25</v>
      </c>
      <c r="R36" s="362">
        <f t="shared" si="9"/>
        <v>25</v>
      </c>
      <c r="S36" s="363">
        <v>730</v>
      </c>
      <c r="T36" s="363">
        <v>690</v>
      </c>
      <c r="U36" s="371">
        <v>478.75696062461873</v>
      </c>
      <c r="V36" s="365">
        <f t="shared" ref="V36:AA59" si="11">P36^$J36*$K36</f>
        <v>0.97515699216209595</v>
      </c>
      <c r="W36" s="365">
        <f t="shared" si="11"/>
        <v>0.97515699216209595</v>
      </c>
      <c r="X36" s="366">
        <f t="shared" si="11"/>
        <v>0.97515699216209595</v>
      </c>
      <c r="Y36" s="367">
        <f t="shared" si="11"/>
        <v>4.9255905551350345</v>
      </c>
      <c r="Z36" s="367">
        <f t="shared" si="11"/>
        <v>4.7941420557592593</v>
      </c>
      <c r="AA36" s="367">
        <f t="shared" si="11"/>
        <v>4.0227086887717949</v>
      </c>
      <c r="AH36" s="638"/>
      <c r="AI36" s="638"/>
      <c r="AJ36" s="637"/>
    </row>
    <row r="37" spans="1:36" ht="15.75" thickBot="1" x14ac:dyDescent="0.3">
      <c r="A37" s="886"/>
      <c r="B37" s="377">
        <v>7</v>
      </c>
      <c r="C37" s="252">
        <v>53</v>
      </c>
      <c r="D37" s="252">
        <v>435.5</v>
      </c>
      <c r="E37" s="433">
        <f t="shared" si="10"/>
        <v>435.5</v>
      </c>
      <c r="F37" s="378" t="e">
        <f>IF(OR(#REF!="", E37=""),"",(E37-#REF!*L37)^J37*(K37+E37*N37))</f>
        <v>#REF!</v>
      </c>
      <c r="G37" s="379">
        <f t="shared" si="6"/>
        <v>1.4983681189881211</v>
      </c>
      <c r="H37" s="173">
        <v>1.4990000000000001</v>
      </c>
      <c r="I37" s="213">
        <f t="shared" si="7"/>
        <v>4.2153503127355174E-4</v>
      </c>
      <c r="J37" s="380">
        <v>0.5</v>
      </c>
      <c r="K37" s="381">
        <v>7.1800000000000003E-2</v>
      </c>
      <c r="L37" s="381">
        <v>0</v>
      </c>
      <c r="M37" s="381">
        <v>0.11</v>
      </c>
      <c r="N37" s="434">
        <v>0</v>
      </c>
      <c r="O37" s="382">
        <v>25</v>
      </c>
      <c r="P37" s="314">
        <f t="shared" si="8"/>
        <v>25</v>
      </c>
      <c r="Q37" s="315">
        <v>25</v>
      </c>
      <c r="R37" s="315">
        <f t="shared" si="9"/>
        <v>25</v>
      </c>
      <c r="S37" s="321">
        <v>730</v>
      </c>
      <c r="T37" s="321">
        <v>690</v>
      </c>
      <c r="U37" s="435">
        <v>479.80761949161706</v>
      </c>
      <c r="V37" s="384">
        <f t="shared" si="11"/>
        <v>0.35899999999999999</v>
      </c>
      <c r="W37" s="384">
        <f t="shared" si="11"/>
        <v>0.35899999999999999</v>
      </c>
      <c r="X37" s="384">
        <f t="shared" si="11"/>
        <v>0.35899999999999999</v>
      </c>
      <c r="Y37" s="436">
        <f t="shared" si="11"/>
        <v>1.9399291739648641</v>
      </c>
      <c r="Z37" s="436">
        <f t="shared" si="11"/>
        <v>1.886031707050547</v>
      </c>
      <c r="AA37" s="436">
        <f t="shared" si="11"/>
        <v>1.5727439182231684</v>
      </c>
      <c r="AH37" s="638"/>
      <c r="AI37" s="638"/>
      <c r="AJ37" s="637"/>
    </row>
    <row r="38" spans="1:36" ht="15.75" thickBot="1" x14ac:dyDescent="0.3">
      <c r="C38" s="322"/>
      <c r="D38" s="269"/>
      <c r="E38" s="309"/>
      <c r="F38" s="324"/>
      <c r="G38" s="437"/>
      <c r="H38" s="673"/>
      <c r="I38" s="673"/>
      <c r="J38" s="389"/>
      <c r="K38" s="327"/>
      <c r="L38" s="327"/>
      <c r="M38" s="327"/>
      <c r="N38" s="327"/>
      <c r="O38" s="438"/>
      <c r="P38" s="269"/>
      <c r="Q38" s="269"/>
      <c r="R38" s="269"/>
      <c r="S38" s="335"/>
      <c r="T38" s="334"/>
      <c r="U38" s="334"/>
      <c r="V38" s="355"/>
      <c r="W38" s="390"/>
      <c r="X38" s="390"/>
      <c r="Y38" s="391"/>
      <c r="Z38" s="392"/>
      <c r="AA38" s="393"/>
      <c r="AB38" s="337"/>
      <c r="AC38" s="337"/>
      <c r="AH38" s="638"/>
      <c r="AI38" s="638"/>
      <c r="AJ38" s="638"/>
    </row>
    <row r="39" spans="1:36" ht="15" customHeight="1" x14ac:dyDescent="0.25">
      <c r="A39" s="884">
        <v>350</v>
      </c>
      <c r="B39" s="439">
        <v>102</v>
      </c>
      <c r="C39" s="246">
        <v>53</v>
      </c>
      <c r="D39" s="247">
        <v>435.5</v>
      </c>
      <c r="E39" s="387">
        <f t="shared" ref="E39:E48" si="12">IF(OR(C39="",D39="", D39&lt;0),"---",        IF(AND(D39&gt;=O39,D39&gt;=ABS(C39)*M39),D39,"---"))</f>
        <v>435.5</v>
      </c>
      <c r="F39" s="440" t="e">
        <f>IF(OR(#REF!="", E39=""),"",(E39-#REF!*L39)^J39*(K39+E39*N39))</f>
        <v>#REF!</v>
      </c>
      <c r="G39" s="388">
        <f t="shared" ref="G39:G48" si="13">IF(E39="---","---", (E39-ABS(C39)*L39)^J39*(K39+E39*N39))</f>
        <v>385.82182563539175</v>
      </c>
      <c r="H39" s="170">
        <v>385.9</v>
      </c>
      <c r="I39" s="211">
        <f>(H39-G39)/H39</f>
        <v>2.0257674166424065E-4</v>
      </c>
      <c r="J39" s="441">
        <v>0.59</v>
      </c>
      <c r="K39" s="341">
        <v>10.7</v>
      </c>
      <c r="L39" s="341">
        <v>0</v>
      </c>
      <c r="M39" s="341">
        <v>0.4</v>
      </c>
      <c r="N39" s="565">
        <v>0</v>
      </c>
      <c r="O39" s="442">
        <v>100</v>
      </c>
      <c r="P39" s="443">
        <f>IF($M39*P$15&gt;$O39, $M39*P$15, $O39)</f>
        <v>100</v>
      </c>
      <c r="Q39" s="444">
        <f>IF($M39*Q$15&gt;$O39, $M39*Q$15, $O39)</f>
        <v>100</v>
      </c>
      <c r="R39" s="445">
        <f>IF($M39*R$15&gt;$O39, $M39*R$15, $O39)</f>
        <v>100</v>
      </c>
      <c r="S39" s="446">
        <v>760</v>
      </c>
      <c r="T39" s="446">
        <v>740</v>
      </c>
      <c r="U39" s="447">
        <v>695</v>
      </c>
      <c r="V39" s="448">
        <f t="shared" si="11"/>
        <v>161.95105358267432</v>
      </c>
      <c r="W39" s="448">
        <f t="shared" si="11"/>
        <v>161.95105358267432</v>
      </c>
      <c r="X39" s="449">
        <f t="shared" si="11"/>
        <v>161.95105358267432</v>
      </c>
      <c r="Y39" s="450">
        <f t="shared" si="11"/>
        <v>535.87537092484104</v>
      </c>
      <c r="Z39" s="450">
        <f t="shared" si="11"/>
        <v>527.50975144172617</v>
      </c>
      <c r="AA39" s="450">
        <f t="shared" si="11"/>
        <v>508.34061779084954</v>
      </c>
      <c r="AH39" s="637">
        <f>IF('Flow charts'!$A$7=$P$15,Y39, IF('Flow charts'!$A$7=$Q$15,Z39, IF('Flow charts'!$A$7=$R$15,AA39,"SELECT BP")))</f>
        <v>508.34061779084954</v>
      </c>
      <c r="AI39" s="637">
        <f>IF('Flow charts'!$A$7=$P$15,V39, IF('Flow charts'!$A$7=$Q$15,W39, IF('Flow charts'!$A$7=$R$15,X39,"SELECT BP")))</f>
        <v>161.95105358267432</v>
      </c>
      <c r="AJ39" s="637">
        <f>AH39-AI39</f>
        <v>346.38956420817522</v>
      </c>
    </row>
    <row r="40" spans="1:36" ht="15" customHeight="1" x14ac:dyDescent="0.25">
      <c r="A40" s="885"/>
      <c r="B40" s="431">
        <v>74</v>
      </c>
      <c r="C40" s="248">
        <v>53</v>
      </c>
      <c r="D40" s="248">
        <v>435.5</v>
      </c>
      <c r="E40" s="430">
        <f t="shared" si="12"/>
        <v>435.5</v>
      </c>
      <c r="F40" s="408" t="e">
        <f>IF(OR(#REF!="", E40=""),"",(E40-#REF!*L40)^J40*(K40+E40*N40))</f>
        <v>#REF!</v>
      </c>
      <c r="G40" s="451">
        <f t="shared" si="13"/>
        <v>151.78830470578302</v>
      </c>
      <c r="H40" s="167">
        <v>151.80000000000001</v>
      </c>
      <c r="I40" s="212">
        <f t="shared" ref="I40:I48" si="14">(H40-G40)/H40</f>
        <v>7.7044098926163827E-5</v>
      </c>
      <c r="J40" s="300">
        <v>0.50449999999999995</v>
      </c>
      <c r="K40" s="359">
        <v>7.0773192087114243</v>
      </c>
      <c r="L40" s="301">
        <v>0</v>
      </c>
      <c r="M40" s="301">
        <v>0.25</v>
      </c>
      <c r="N40" s="428">
        <v>0</v>
      </c>
      <c r="O40" s="350">
        <v>15</v>
      </c>
      <c r="P40" s="360">
        <f t="shared" ref="P40:P48" si="15">IF($M40*P$15&gt;$O40, $M40*P$15, $O40)</f>
        <v>15</v>
      </c>
      <c r="Q40" s="361">
        <v>15</v>
      </c>
      <c r="R40" s="362">
        <f t="shared" ref="R40:R48" si="16">IF($M40*R$15&gt;$O40, $M40*R$15, $O40)</f>
        <v>15</v>
      </c>
      <c r="S40" s="363">
        <v>760</v>
      </c>
      <c r="T40" s="363">
        <v>500</v>
      </c>
      <c r="U40" s="364">
        <v>330</v>
      </c>
      <c r="V40" s="365">
        <f t="shared" si="11"/>
        <v>27.746411586175977</v>
      </c>
      <c r="W40" s="365">
        <f t="shared" si="11"/>
        <v>27.746411586175977</v>
      </c>
      <c r="X40" s="366">
        <f t="shared" si="11"/>
        <v>27.746411586175977</v>
      </c>
      <c r="Y40" s="367">
        <f t="shared" si="11"/>
        <v>201.01998736756497</v>
      </c>
      <c r="Z40" s="367">
        <f t="shared" si="11"/>
        <v>162.74181351150361</v>
      </c>
      <c r="AA40" s="367">
        <f t="shared" si="11"/>
        <v>131.96509256397226</v>
      </c>
      <c r="AH40" s="637">
        <f>IF('Flow charts'!$A$7=$P$15,Y40, IF('Flow charts'!$A$7=$Q$15,Z40, IF('Flow charts'!$A$7=$R$15,AA40,"SELECT BP")))</f>
        <v>131.96509256397226</v>
      </c>
      <c r="AI40" s="637">
        <f>IF('Flow charts'!$A$7=$P$15,V40, IF('Flow charts'!$A$7=$Q$15,W40, IF('Flow charts'!$A$7=$R$15,X40,"SELECT BP")))</f>
        <v>27.746411586175977</v>
      </c>
      <c r="AJ40" s="637">
        <f t="shared" ref="AJ40:AJ48" si="17">AH40-AI40</f>
        <v>104.21868097779628</v>
      </c>
    </row>
    <row r="41" spans="1:36" ht="15" customHeight="1" x14ac:dyDescent="0.25">
      <c r="A41" s="885"/>
      <c r="B41" s="452">
        <v>47</v>
      </c>
      <c r="C41" s="248">
        <v>53</v>
      </c>
      <c r="D41" s="248">
        <v>435.5</v>
      </c>
      <c r="E41" s="430">
        <f t="shared" si="12"/>
        <v>435.5</v>
      </c>
      <c r="F41" s="408" t="e">
        <f>IF(OR(#REF!="", E41=""),"",(E41-#REF!*L41)^J41*(K41+E41*N41))</f>
        <v>#REF!</v>
      </c>
      <c r="G41" s="453">
        <f t="shared" si="13"/>
        <v>67.63391491945508</v>
      </c>
      <c r="H41" s="167">
        <v>67.650000000000006</v>
      </c>
      <c r="I41" s="212">
        <f t="shared" si="14"/>
        <v>2.3776911374613074E-4</v>
      </c>
      <c r="J41" s="369">
        <v>0.5</v>
      </c>
      <c r="K41" s="359">
        <v>3.2409359420275905</v>
      </c>
      <c r="L41" s="301">
        <v>0</v>
      </c>
      <c r="M41" s="301">
        <v>0.1</v>
      </c>
      <c r="N41" s="428">
        <v>0</v>
      </c>
      <c r="O41" s="350">
        <v>10</v>
      </c>
      <c r="P41" s="336">
        <f t="shared" si="15"/>
        <v>10</v>
      </c>
      <c r="Q41" s="351">
        <v>10</v>
      </c>
      <c r="R41" s="335">
        <f t="shared" si="16"/>
        <v>10</v>
      </c>
      <c r="S41" s="352">
        <v>730</v>
      </c>
      <c r="T41" s="352">
        <v>650</v>
      </c>
      <c r="U41" s="353">
        <v>415</v>
      </c>
      <c r="V41" s="354">
        <f t="shared" si="11"/>
        <v>10.248739327510611</v>
      </c>
      <c r="W41" s="354">
        <f t="shared" si="11"/>
        <v>10.248739327510611</v>
      </c>
      <c r="X41" s="355">
        <f t="shared" si="11"/>
        <v>10.248739327510611</v>
      </c>
      <c r="Y41" s="356">
        <f t="shared" si="11"/>
        <v>87.565267199033741</v>
      </c>
      <c r="Z41" s="356">
        <f t="shared" si="11"/>
        <v>82.627978053514497</v>
      </c>
      <c r="AA41" s="454">
        <f t="shared" si="11"/>
        <v>66.02288466005858</v>
      </c>
      <c r="AH41" s="637">
        <f>IF('Flow charts'!$A$7=$P$15,Y41, IF('Flow charts'!$A$7=$Q$15,Z41, IF('Flow charts'!$A$7=$R$15,AA41,"SELECT BP")))</f>
        <v>66.02288466005858</v>
      </c>
      <c r="AI41" s="637">
        <f>IF('Flow charts'!$A$7=$P$15,V41, IF('Flow charts'!$A$7=$Q$15,W41, IF('Flow charts'!$A$7=$R$15,X41,"SELECT BP")))</f>
        <v>10.248739327510611</v>
      </c>
      <c r="AJ41" s="637">
        <f t="shared" si="17"/>
        <v>55.774145332547967</v>
      </c>
    </row>
    <row r="42" spans="1:36" ht="15" customHeight="1" x14ac:dyDescent="0.25">
      <c r="A42" s="885"/>
      <c r="B42" s="431">
        <v>29</v>
      </c>
      <c r="C42" s="248">
        <v>53</v>
      </c>
      <c r="D42" s="248">
        <v>435.5</v>
      </c>
      <c r="E42" s="430">
        <f t="shared" si="12"/>
        <v>435.5</v>
      </c>
      <c r="F42" s="408" t="e">
        <f>IF(OR(#REF!="", E42=""),"",(E42-#REF!*L42)^J42*(K42+E42*N42))</f>
        <v>#REF!</v>
      </c>
      <c r="G42" s="453">
        <f t="shared" si="13"/>
        <v>25.142601525054424</v>
      </c>
      <c r="H42" s="167">
        <v>25.14</v>
      </c>
      <c r="I42" s="212">
        <f t="shared" si="14"/>
        <v>-1.0348150574476326E-4</v>
      </c>
      <c r="J42" s="369">
        <v>0.502</v>
      </c>
      <c r="K42" s="359">
        <v>1.1902499077349771</v>
      </c>
      <c r="L42" s="301">
        <v>0</v>
      </c>
      <c r="M42" s="301">
        <v>0.2</v>
      </c>
      <c r="N42" s="428">
        <v>0</v>
      </c>
      <c r="O42" s="350">
        <v>20</v>
      </c>
      <c r="P42" s="360">
        <f t="shared" si="15"/>
        <v>20</v>
      </c>
      <c r="Q42" s="361">
        <v>20</v>
      </c>
      <c r="R42" s="362">
        <f t="shared" si="16"/>
        <v>20</v>
      </c>
      <c r="S42" s="363">
        <v>730</v>
      </c>
      <c r="T42" s="363">
        <v>690</v>
      </c>
      <c r="U42" s="371">
        <v>425.73199093128164</v>
      </c>
      <c r="V42" s="365">
        <f t="shared" si="11"/>
        <v>5.3549474623502169</v>
      </c>
      <c r="W42" s="365">
        <f t="shared" si="11"/>
        <v>5.3549474623502169</v>
      </c>
      <c r="X42" s="366">
        <f t="shared" si="11"/>
        <v>5.3549474623502169</v>
      </c>
      <c r="Y42" s="374">
        <f t="shared" si="11"/>
        <v>32.58563827896009</v>
      </c>
      <c r="Z42" s="374">
        <f t="shared" si="11"/>
        <v>31.676734170059309</v>
      </c>
      <c r="AA42" s="374">
        <f t="shared" si="11"/>
        <v>24.857907747098437</v>
      </c>
      <c r="AH42" s="637">
        <f>IF('Flow charts'!$A$7=$P$15,Y42, IF('Flow charts'!$A$7=$Q$15,Z42, IF('Flow charts'!$A$7=$R$15,AA42,"SELECT BP")))</f>
        <v>24.857907747098437</v>
      </c>
      <c r="AI42" s="637">
        <f>IF('Flow charts'!$A$7=$P$15,V42, IF('Flow charts'!$A$7=$Q$15,W42, IF('Flow charts'!$A$7=$R$15,X42,"SELECT BP")))</f>
        <v>5.3549474623502169</v>
      </c>
      <c r="AJ42" s="637">
        <f t="shared" si="17"/>
        <v>19.50296028474822</v>
      </c>
    </row>
    <row r="43" spans="1:36" ht="15.75" customHeight="1" x14ac:dyDescent="0.25">
      <c r="A43" s="885"/>
      <c r="B43" s="431">
        <v>18</v>
      </c>
      <c r="C43" s="248">
        <v>53</v>
      </c>
      <c r="D43" s="248">
        <v>435.5</v>
      </c>
      <c r="E43" s="430">
        <f t="shared" si="12"/>
        <v>435.5</v>
      </c>
      <c r="F43" s="298" t="e">
        <f>IF(OR(#REF!="", E43=""),"",(E43-#REF!*L43)^J43*(K43+E43*N43))</f>
        <v>#REF!</v>
      </c>
      <c r="G43" s="455">
        <f t="shared" si="13"/>
        <v>9.4791913809622681</v>
      </c>
      <c r="H43" s="167">
        <v>9.4809999999999999</v>
      </c>
      <c r="I43" s="212">
        <f t="shared" si="14"/>
        <v>1.9076247629277223E-4</v>
      </c>
      <c r="J43" s="300">
        <v>0.499</v>
      </c>
      <c r="K43" s="301">
        <v>0.45700000000000002</v>
      </c>
      <c r="L43" s="301">
        <v>0</v>
      </c>
      <c r="M43" s="301">
        <v>0.25</v>
      </c>
      <c r="N43" s="428">
        <v>0</v>
      </c>
      <c r="O43" s="350">
        <v>25</v>
      </c>
      <c r="P43" s="336">
        <f t="shared" si="15"/>
        <v>25</v>
      </c>
      <c r="Q43" s="351">
        <v>25</v>
      </c>
      <c r="R43" s="335">
        <f t="shared" si="16"/>
        <v>25</v>
      </c>
      <c r="S43" s="352">
        <v>730</v>
      </c>
      <c r="T43" s="352">
        <v>690</v>
      </c>
      <c r="U43" s="456">
        <v>472.30751104175147</v>
      </c>
      <c r="V43" s="354">
        <f t="shared" si="11"/>
        <v>2.2776566936762075</v>
      </c>
      <c r="W43" s="354">
        <f t="shared" si="11"/>
        <v>2.2776566936762075</v>
      </c>
      <c r="X43" s="355">
        <f t="shared" si="11"/>
        <v>2.2776566936762075</v>
      </c>
      <c r="Y43" s="454">
        <f t="shared" si="11"/>
        <v>12.266320480978111</v>
      </c>
      <c r="Z43" s="454">
        <f t="shared" si="11"/>
        <v>11.926194734198138</v>
      </c>
      <c r="AA43" s="454">
        <f t="shared" si="11"/>
        <v>9.8708465677731372</v>
      </c>
      <c r="AH43" s="637">
        <f>IF('Flow charts'!$A$7=$P$15,Y43, IF('Flow charts'!$A$7=$Q$15,Z43, IF('Flow charts'!$A$7=$R$15,AA43,"SELECT BP")))</f>
        <v>9.8708465677731372</v>
      </c>
      <c r="AI43" s="639">
        <f>IF('Flow charts'!$A$7=$P$15,V43, IF('Flow charts'!$A$7=$Q$15,W43, IF('Flow charts'!$A$7=$R$15,X43,"SELECT BP")))</f>
        <v>2.2776566936762075</v>
      </c>
      <c r="AJ43" s="637">
        <f t="shared" si="17"/>
        <v>7.5931898740969297</v>
      </c>
    </row>
    <row r="44" spans="1:36" ht="15" customHeight="1" x14ac:dyDescent="0.25">
      <c r="A44" s="885"/>
      <c r="B44" s="457">
        <v>11</v>
      </c>
      <c r="C44" s="248">
        <v>53</v>
      </c>
      <c r="D44" s="248">
        <v>435.5</v>
      </c>
      <c r="E44" s="358">
        <f t="shared" si="12"/>
        <v>435.5</v>
      </c>
      <c r="F44" s="298" t="e">
        <f>IF(OR(#REF!="", E44=""),"",(E44-#REF!*L44)^J44*(K44+E44*N44))</f>
        <v>#REF!</v>
      </c>
      <c r="G44" s="458">
        <f t="shared" si="13"/>
        <v>3.8439493050148141</v>
      </c>
      <c r="H44" s="167">
        <v>3.8450000000000002</v>
      </c>
      <c r="I44" s="212">
        <f t="shared" si="14"/>
        <v>2.732626749508615E-4</v>
      </c>
      <c r="J44" s="369">
        <v>0.48</v>
      </c>
      <c r="K44" s="376">
        <v>0.20799999999999999</v>
      </c>
      <c r="L44" s="301">
        <v>0</v>
      </c>
      <c r="M44" s="301">
        <v>0.25</v>
      </c>
      <c r="N44" s="428">
        <v>0</v>
      </c>
      <c r="O44" s="350">
        <v>25</v>
      </c>
      <c r="P44" s="360">
        <f t="shared" si="15"/>
        <v>25</v>
      </c>
      <c r="Q44" s="361">
        <v>25</v>
      </c>
      <c r="R44" s="362">
        <f t="shared" si="16"/>
        <v>25</v>
      </c>
      <c r="S44" s="363">
        <v>730</v>
      </c>
      <c r="T44" s="363">
        <v>690</v>
      </c>
      <c r="U44" s="371">
        <v>478.75696062461873</v>
      </c>
      <c r="V44" s="365">
        <f t="shared" si="11"/>
        <v>0.97515699216209595</v>
      </c>
      <c r="W44" s="365">
        <f t="shared" si="11"/>
        <v>0.97515699216209595</v>
      </c>
      <c r="X44" s="366">
        <f t="shared" si="11"/>
        <v>0.97515699216209595</v>
      </c>
      <c r="Y44" s="374">
        <f t="shared" si="11"/>
        <v>4.9255905551350345</v>
      </c>
      <c r="Z44" s="374">
        <f t="shared" si="11"/>
        <v>4.7941420557592593</v>
      </c>
      <c r="AA44" s="374">
        <f t="shared" si="11"/>
        <v>4.0227086887717949</v>
      </c>
      <c r="AH44" s="639">
        <f>IF('Flow charts'!$A$7=$P$15,Y44, IF('Flow charts'!$A$7=$Q$15,Z44, IF('Flow charts'!$A$7=$R$15,AA44,"SELECT BP")))</f>
        <v>4.0227086887717949</v>
      </c>
      <c r="AI44" s="639">
        <f>IF('Flow charts'!$A$7=$P$15,V44, IF('Flow charts'!$A$7=$Q$15,W44, IF('Flow charts'!$A$7=$R$15,X44,"SELECT BP")))</f>
        <v>0.97515699216209595</v>
      </c>
      <c r="AJ44" s="639">
        <f t="shared" si="17"/>
        <v>3.0475516966096992</v>
      </c>
    </row>
    <row r="45" spans="1:36" ht="15" customHeight="1" x14ac:dyDescent="0.25">
      <c r="A45" s="885"/>
      <c r="B45" s="459">
        <v>7</v>
      </c>
      <c r="C45" s="248">
        <v>53</v>
      </c>
      <c r="D45" s="248">
        <v>435.5</v>
      </c>
      <c r="E45" s="323">
        <f t="shared" si="12"/>
        <v>435.5</v>
      </c>
      <c r="F45" s="372" t="e">
        <f>IF(OR(#REF!="", E45=""),"",(E45-#REF!*L45)^J45*(K45+E45*N45))</f>
        <v>#REF!</v>
      </c>
      <c r="G45" s="458">
        <f t="shared" si="13"/>
        <v>1.4983681189881211</v>
      </c>
      <c r="H45" s="167">
        <v>1.4990000000000001</v>
      </c>
      <c r="I45" s="212">
        <f t="shared" si="14"/>
        <v>4.2153503127355174E-4</v>
      </c>
      <c r="J45" s="369">
        <v>0.5</v>
      </c>
      <c r="K45" s="301">
        <v>7.1800000000000003E-2</v>
      </c>
      <c r="L45" s="301">
        <v>0</v>
      </c>
      <c r="M45" s="301">
        <v>0.11</v>
      </c>
      <c r="N45" s="428">
        <v>0</v>
      </c>
      <c r="O45" s="350">
        <v>25</v>
      </c>
      <c r="P45" s="360">
        <f t="shared" si="15"/>
        <v>25</v>
      </c>
      <c r="Q45" s="361">
        <v>25</v>
      </c>
      <c r="R45" s="362">
        <f t="shared" si="16"/>
        <v>25</v>
      </c>
      <c r="S45" s="363">
        <v>730</v>
      </c>
      <c r="T45" s="363">
        <v>690</v>
      </c>
      <c r="U45" s="371">
        <v>479.80761949161706</v>
      </c>
      <c r="V45" s="365">
        <f t="shared" si="11"/>
        <v>0.35899999999999999</v>
      </c>
      <c r="W45" s="365">
        <f t="shared" si="11"/>
        <v>0.35899999999999999</v>
      </c>
      <c r="X45" s="366">
        <f t="shared" si="11"/>
        <v>0.35899999999999999</v>
      </c>
      <c r="Y45" s="374">
        <f t="shared" si="11"/>
        <v>1.9399291739648641</v>
      </c>
      <c r="Z45" s="374">
        <f t="shared" si="11"/>
        <v>1.886031707050547</v>
      </c>
      <c r="AA45" s="374">
        <f t="shared" si="11"/>
        <v>1.5727439182231684</v>
      </c>
      <c r="AH45" s="639">
        <f>IF('Flow charts'!$A$7=$P$15,Y45, IF('Flow charts'!$A$7=$Q$15,Z45, IF('Flow charts'!$A$7=$R$15,AA45,"SELECT BP")))</f>
        <v>1.5727439182231684</v>
      </c>
      <c r="AI45" s="639">
        <f>IF('Flow charts'!$A$7=$P$15,V45, IF('Flow charts'!$A$7=$Q$15,W45, IF('Flow charts'!$A$7=$R$15,X45,"SELECT BP")))</f>
        <v>0.35899999999999999</v>
      </c>
      <c r="AJ45" s="639">
        <f>AH45-AI45</f>
        <v>1.2137439182231684</v>
      </c>
    </row>
    <row r="46" spans="1:36" ht="15" customHeight="1" x14ac:dyDescent="0.25">
      <c r="A46" s="885"/>
      <c r="B46" s="357">
        <v>3</v>
      </c>
      <c r="C46" s="248">
        <v>53</v>
      </c>
      <c r="D46" s="248">
        <v>435.5</v>
      </c>
      <c r="E46" s="430">
        <f t="shared" si="12"/>
        <v>435.5</v>
      </c>
      <c r="F46" s="372" t="e">
        <f>IF(OR(#REF!="", E46=""),"",(E46-#REF!*L46)^J46*(K46+E46*N46))</f>
        <v>#REF!</v>
      </c>
      <c r="G46" s="458">
        <f t="shared" si="13"/>
        <v>0.41149352747476919</v>
      </c>
      <c r="H46" s="167">
        <v>0.41160000000000002</v>
      </c>
      <c r="I46" s="212">
        <f t="shared" si="14"/>
        <v>2.5867960454525608E-4</v>
      </c>
      <c r="J46" s="300">
        <v>0.48499999999999999</v>
      </c>
      <c r="K46" s="460">
        <v>2.1600000000000001E-2</v>
      </c>
      <c r="L46" s="301">
        <v>0</v>
      </c>
      <c r="M46" s="301">
        <v>0.3</v>
      </c>
      <c r="N46" s="428">
        <v>0</v>
      </c>
      <c r="O46" s="350">
        <v>25</v>
      </c>
      <c r="P46" s="360">
        <f t="shared" si="15"/>
        <v>25</v>
      </c>
      <c r="Q46" s="361">
        <v>25</v>
      </c>
      <c r="R46" s="362">
        <f t="shared" si="16"/>
        <v>25</v>
      </c>
      <c r="S46" s="363">
        <v>726</v>
      </c>
      <c r="T46" s="363">
        <v>676</v>
      </c>
      <c r="U46" s="364">
        <v>494</v>
      </c>
      <c r="V46" s="461">
        <f t="shared" si="11"/>
        <v>0.10290930740806853</v>
      </c>
      <c r="W46" s="461">
        <f t="shared" si="11"/>
        <v>0.10290930740806853</v>
      </c>
      <c r="X46" s="462">
        <f t="shared" si="11"/>
        <v>0.10290930740806853</v>
      </c>
      <c r="Y46" s="463">
        <f t="shared" si="11"/>
        <v>0.52723958824463835</v>
      </c>
      <c r="Z46" s="463">
        <f t="shared" si="11"/>
        <v>0.50930495178519897</v>
      </c>
      <c r="AA46" s="463">
        <f t="shared" si="11"/>
        <v>0.43743277660884183</v>
      </c>
      <c r="AB46" s="270">
        <v>1000726</v>
      </c>
      <c r="AH46" s="639">
        <f>IF('Flow charts'!$A$7=$P$15,Y46, IF('Flow charts'!$A$7=$Q$15,Z46, IF('Flow charts'!$A$7=$R$15,AA46,"SELECT BP")))</f>
        <v>0.43743277660884183</v>
      </c>
      <c r="AI46" s="639">
        <f>IF('Flow charts'!$A$7=$P$15,V46, IF('Flow charts'!$A$7=$Q$15,W46, IF('Flow charts'!$A$7=$R$15,X46,"SELECT BP")))</f>
        <v>0.10290930740806853</v>
      </c>
      <c r="AJ46" s="639">
        <f t="shared" si="17"/>
        <v>0.3345234692007733</v>
      </c>
    </row>
    <row r="47" spans="1:36" ht="15" customHeight="1" x14ac:dyDescent="0.25">
      <c r="A47" s="885"/>
      <c r="B47" s="357">
        <v>2</v>
      </c>
      <c r="C47" s="248">
        <v>53</v>
      </c>
      <c r="D47" s="248">
        <v>435.5</v>
      </c>
      <c r="E47" s="430">
        <f t="shared" si="12"/>
        <v>435.5</v>
      </c>
      <c r="F47" s="372" t="e">
        <f>IF(OR(#REF!="", E47=""),"",(E47-#REF!*L47)^J47*(K47+E47*N47))</f>
        <v>#REF!</v>
      </c>
      <c r="G47" s="464">
        <f t="shared" si="13"/>
        <v>0.16277101854187226</v>
      </c>
      <c r="H47" s="167">
        <v>0.1628</v>
      </c>
      <c r="I47" s="212">
        <f t="shared" si="14"/>
        <v>1.780187845684364E-4</v>
      </c>
      <c r="J47" s="369">
        <v>0.53</v>
      </c>
      <c r="K47" s="460">
        <v>6.4999999999999997E-3</v>
      </c>
      <c r="L47" s="301">
        <v>0</v>
      </c>
      <c r="M47" s="301">
        <v>0.3</v>
      </c>
      <c r="N47" s="428">
        <v>0</v>
      </c>
      <c r="O47" s="350">
        <v>25</v>
      </c>
      <c r="P47" s="360">
        <f t="shared" si="15"/>
        <v>25</v>
      </c>
      <c r="Q47" s="361">
        <v>25</v>
      </c>
      <c r="R47" s="362">
        <f t="shared" si="16"/>
        <v>25</v>
      </c>
      <c r="S47" s="363">
        <v>727</v>
      </c>
      <c r="T47" s="363">
        <v>685</v>
      </c>
      <c r="U47" s="364">
        <v>502</v>
      </c>
      <c r="V47" s="461">
        <f t="shared" si="11"/>
        <v>3.5794933608697899E-2</v>
      </c>
      <c r="W47" s="461">
        <f t="shared" si="11"/>
        <v>3.5794933608697899E-2</v>
      </c>
      <c r="X47" s="462">
        <f t="shared" si="11"/>
        <v>3.5794933608697899E-2</v>
      </c>
      <c r="Y47" s="463">
        <f t="shared" si="11"/>
        <v>0.21356328593682727</v>
      </c>
      <c r="Z47" s="463">
        <f t="shared" si="11"/>
        <v>0.20693281206471659</v>
      </c>
      <c r="AA47" s="463">
        <f t="shared" si="11"/>
        <v>0.17550372018879548</v>
      </c>
      <c r="AB47" s="270">
        <v>1006308</v>
      </c>
      <c r="AH47" s="639">
        <f>IF('Flow charts'!$A$7=$P$15,Y47, IF('Flow charts'!$A$7=$Q$15,Z47, IF('Flow charts'!$A$7=$R$15,AA47,"SELECT BP")))</f>
        <v>0.17550372018879548</v>
      </c>
      <c r="AI47" s="639">
        <f>IF('Flow charts'!$A$7=$P$15,V47, IF('Flow charts'!$A$7=$Q$15,W47, IF('Flow charts'!$A$7=$R$15,X47,"SELECT BP")))</f>
        <v>3.5794933608697899E-2</v>
      </c>
      <c r="AJ47" s="639">
        <f t="shared" si="17"/>
        <v>0.13970878658009758</v>
      </c>
    </row>
    <row r="48" spans="1:36" ht="15" customHeight="1" thickBot="1" x14ac:dyDescent="0.3">
      <c r="A48" s="886"/>
      <c r="B48" s="377">
        <v>1</v>
      </c>
      <c r="C48" s="252">
        <v>53</v>
      </c>
      <c r="D48" s="252">
        <v>435.5</v>
      </c>
      <c r="E48" s="433">
        <f t="shared" si="12"/>
        <v>435.5</v>
      </c>
      <c r="F48" s="378" t="e">
        <f>IF(OR(#REF!="", E48=""),"",(E48-#REF!*L48)^J48*(K48+E48*N48))</f>
        <v>#REF!</v>
      </c>
      <c r="G48" s="455">
        <f t="shared" si="13"/>
        <v>7.4954252995866888E-2</v>
      </c>
      <c r="H48" s="173">
        <v>7.5079999999999994E-2</v>
      </c>
      <c r="I48" s="213">
        <f t="shared" si="14"/>
        <v>1.6748402255341774E-3</v>
      </c>
      <c r="J48" s="380">
        <v>0.59279999999999999</v>
      </c>
      <c r="K48" s="465">
        <v>2.0436386114547761E-3</v>
      </c>
      <c r="L48" s="381">
        <v>0</v>
      </c>
      <c r="M48" s="381">
        <v>0.3</v>
      </c>
      <c r="N48" s="434">
        <v>0</v>
      </c>
      <c r="O48" s="382">
        <v>40</v>
      </c>
      <c r="P48" s="314">
        <f t="shared" si="15"/>
        <v>40</v>
      </c>
      <c r="Q48" s="315">
        <v>40</v>
      </c>
      <c r="R48" s="316">
        <f t="shared" si="16"/>
        <v>40</v>
      </c>
      <c r="S48" s="321">
        <v>727</v>
      </c>
      <c r="T48" s="321">
        <v>685</v>
      </c>
      <c r="U48" s="466">
        <v>502</v>
      </c>
      <c r="V48" s="467">
        <f t="shared" si="11"/>
        <v>1.8201419627220106E-2</v>
      </c>
      <c r="W48" s="467">
        <f t="shared" si="11"/>
        <v>1.8201419627220106E-2</v>
      </c>
      <c r="X48" s="468">
        <f t="shared" si="11"/>
        <v>1.8201419627220106E-2</v>
      </c>
      <c r="Y48" s="469">
        <f t="shared" si="11"/>
        <v>0.10155976754801681</v>
      </c>
      <c r="Z48" s="469">
        <f t="shared" si="11"/>
        <v>9.8039586350464961E-2</v>
      </c>
      <c r="AA48" s="469">
        <f t="shared" si="11"/>
        <v>8.1541981910848202E-2</v>
      </c>
      <c r="AB48" s="270">
        <v>1006322</v>
      </c>
      <c r="AH48" s="639">
        <f>IF('Flow charts'!$A$7=$P$15,Y48, IF('Flow charts'!$A$7=$Q$15,Z48, IF('Flow charts'!$A$7=$R$15,AA48,"SELECT BP")))</f>
        <v>8.1541981910848202E-2</v>
      </c>
      <c r="AI48" s="639">
        <f>IF('Flow charts'!$A$7=$P$15,V48, IF('Flow charts'!$A$7=$Q$15,W48, IF('Flow charts'!$A$7=$R$15,X48,"SELECT BP")))</f>
        <v>1.8201419627220106E-2</v>
      </c>
      <c r="AJ48" s="639">
        <f t="shared" si="17"/>
        <v>6.3340562283628096E-2</v>
      </c>
    </row>
    <row r="49" spans="1:36" ht="29.25" customHeight="1" thickBot="1" x14ac:dyDescent="0.3">
      <c r="A49" s="470"/>
      <c r="C49" s="471"/>
      <c r="D49" s="472"/>
      <c r="E49" s="473"/>
      <c r="G49" s="474"/>
      <c r="H49" s="674"/>
      <c r="I49" s="672"/>
      <c r="J49" s="471"/>
      <c r="K49" s="475"/>
      <c r="L49" s="475"/>
      <c r="M49" s="475"/>
      <c r="N49" s="475"/>
      <c r="O49" s="476"/>
      <c r="P49" s="477">
        <v>250</v>
      </c>
      <c r="Q49" s="478">
        <v>1000</v>
      </c>
      <c r="R49" s="478">
        <v>4980</v>
      </c>
      <c r="S49" s="478">
        <f>P49</f>
        <v>250</v>
      </c>
      <c r="T49" s="478">
        <f>Q49</f>
        <v>1000</v>
      </c>
      <c r="U49" s="478">
        <f>R49</f>
        <v>4980</v>
      </c>
      <c r="V49" s="478">
        <f>P49</f>
        <v>250</v>
      </c>
      <c r="W49" s="478">
        <f>Q49</f>
        <v>1000</v>
      </c>
      <c r="X49" s="478">
        <f>R49</f>
        <v>4980</v>
      </c>
      <c r="Y49" s="478">
        <f>P49</f>
        <v>250</v>
      </c>
      <c r="Z49" s="478">
        <f>Q49</f>
        <v>1000</v>
      </c>
      <c r="AA49" s="478">
        <f>R49</f>
        <v>4980</v>
      </c>
      <c r="AB49" s="337"/>
      <c r="AH49" s="638"/>
      <c r="AI49" s="638"/>
      <c r="AJ49" s="638"/>
    </row>
    <row r="50" spans="1:36" ht="15.75" customHeight="1" x14ac:dyDescent="0.25">
      <c r="A50" s="884">
        <v>450</v>
      </c>
      <c r="B50" s="479">
        <v>74</v>
      </c>
      <c r="C50" s="246">
        <v>53</v>
      </c>
      <c r="D50" s="247">
        <v>435.5</v>
      </c>
      <c r="E50" s="387">
        <f>IF(OR(C50="",D50="", D50&lt;0),"---",        IF(AND(C50&gt;0, D50&gt;=O50,D50&gt;=ABS(C50)*M50),D50,"---"))</f>
        <v>435.5</v>
      </c>
      <c r="F50" s="440" t="e">
        <f>IF(OR(#REF!="", E50=""),"",(E50-#REF!*L50)^J50*(K50+E50*N50))</f>
        <v>#REF!</v>
      </c>
      <c r="G50" s="388">
        <f t="shared" ref="G50:G59" si="18">IF(E50="---","---", (E50-ABS(C50)*L50)^J50*(K50+E50*N50))</f>
        <v>151.82649759814191</v>
      </c>
      <c r="H50" s="170">
        <v>151.9</v>
      </c>
      <c r="I50" s="211">
        <f>(H50-G50)/H50</f>
        <v>4.8388677984261344E-4</v>
      </c>
      <c r="J50" s="480">
        <v>0.50449999999999995</v>
      </c>
      <c r="K50" s="481">
        <v>7.0791000000000004</v>
      </c>
      <c r="L50" s="482">
        <v>0</v>
      </c>
      <c r="M50" s="482">
        <v>0.15</v>
      </c>
      <c r="N50" s="483">
        <v>0</v>
      </c>
      <c r="O50" s="484">
        <v>250</v>
      </c>
      <c r="P50" s="485">
        <f>IF($M50*P$49&gt;$O50, $M50*P$49, $O50)</f>
        <v>250</v>
      </c>
      <c r="Q50" s="486">
        <f>IF($M50*Q$49&gt;$O50, $M50*Q$49, $O50)</f>
        <v>250</v>
      </c>
      <c r="R50" s="487">
        <f>IF($M50*R$49&gt;$O50, $M50*R$49, $O50)</f>
        <v>747</v>
      </c>
      <c r="S50" s="295">
        <v>1520</v>
      </c>
      <c r="T50" s="295">
        <v>1480</v>
      </c>
      <c r="U50" s="488">
        <v>1480</v>
      </c>
      <c r="V50" s="343">
        <f t="shared" si="11"/>
        <v>114.74632405435122</v>
      </c>
      <c r="W50" s="343">
        <f t="shared" si="11"/>
        <v>114.74632405435122</v>
      </c>
      <c r="X50" s="489">
        <f t="shared" si="11"/>
        <v>199.3279915901669</v>
      </c>
      <c r="Y50" s="344">
        <f t="shared" si="11"/>
        <v>285.24506362646304</v>
      </c>
      <c r="Z50" s="344">
        <f t="shared" si="11"/>
        <v>281.43304050307285</v>
      </c>
      <c r="AA50" s="344">
        <f t="shared" si="11"/>
        <v>281.43304050307285</v>
      </c>
      <c r="AH50" s="637">
        <f>IF('Flow charts'!$A$106=$P$49,Y50, IF('Flow charts'!$A$106=$Q$49,Z50, IF('Flow charts'!$A$106=$R$49,AA50,"SELECT BP")))</f>
        <v>285.24506362646304</v>
      </c>
      <c r="AI50" s="637">
        <f>IF('Flow charts'!$A$106=$P$49,V50, IF('Flow charts'!$A$106=$Q$49,W50, IF('Flow charts'!$A$106=$R$49,X50,"SELECT BP")))</f>
        <v>114.74632405435122</v>
      </c>
      <c r="AJ50" s="637">
        <f>AH50-AI50</f>
        <v>170.49873957211182</v>
      </c>
    </row>
    <row r="51" spans="1:36" ht="15.75" customHeight="1" x14ac:dyDescent="0.25">
      <c r="A51" s="885"/>
      <c r="B51" s="490" t="s">
        <v>79</v>
      </c>
      <c r="C51" s="248">
        <v>-50.2</v>
      </c>
      <c r="D51" s="248">
        <v>515.5</v>
      </c>
      <c r="E51" s="430">
        <f>IF(OR(C51="",D51="", D51&lt;0),"---",        IF(AND(C51&lt;0, D51&gt;=O51,D51&gt;=ABS(C51)*M51),D51,"---"))</f>
        <v>515.5</v>
      </c>
      <c r="F51" s="408" t="e">
        <f>IF(OR(#REF!="", E51=""),"",(E51-#REF!*L51)^J51*(K51+E51*N51))</f>
        <v>#REF!</v>
      </c>
      <c r="G51" s="451">
        <f t="shared" si="18"/>
        <v>162.8317269933884</v>
      </c>
      <c r="H51" s="167">
        <v>162.80000000000001</v>
      </c>
      <c r="I51" s="212">
        <f>(H51-G51)/H51</f>
        <v>-1.9488325177143269E-4</v>
      </c>
      <c r="J51" s="491">
        <v>0.50449999999999995</v>
      </c>
      <c r="K51" s="492">
        <v>6.9729999999999999</v>
      </c>
      <c r="L51" s="411">
        <v>0</v>
      </c>
      <c r="M51" s="411">
        <v>0.15</v>
      </c>
      <c r="N51" s="493">
        <v>0</v>
      </c>
      <c r="O51" s="494">
        <v>250</v>
      </c>
      <c r="P51" s="360">
        <f t="shared" ref="P51:R59" si="19">IF($M51*P$49&gt;$O51, $M51*P$49, $O51)</f>
        <v>250</v>
      </c>
      <c r="Q51" s="361">
        <f t="shared" si="19"/>
        <v>250</v>
      </c>
      <c r="R51" s="362">
        <f t="shared" si="19"/>
        <v>747</v>
      </c>
      <c r="S51" s="363">
        <v>1520</v>
      </c>
      <c r="T51" s="363">
        <v>1480</v>
      </c>
      <c r="U51" s="364">
        <v>1480</v>
      </c>
      <c r="V51" s="365">
        <f t="shared" si="11"/>
        <v>113.02653128660296</v>
      </c>
      <c r="W51" s="365">
        <f t="shared" si="11"/>
        <v>113.02653128660296</v>
      </c>
      <c r="X51" s="366">
        <f t="shared" si="11"/>
        <v>196.34050731847745</v>
      </c>
      <c r="Y51" s="367">
        <f t="shared" si="11"/>
        <v>280.96987310072279</v>
      </c>
      <c r="Z51" s="367">
        <f t="shared" si="11"/>
        <v>277.21498374481598</v>
      </c>
      <c r="AA51" s="374">
        <f t="shared" si="11"/>
        <v>277.21498374481598</v>
      </c>
      <c r="AH51" s="637">
        <f>IF('Flow charts'!$A$106=$P$49,Y51, IF('Flow charts'!$A$106=$Q$49,Z51, IF('Flow charts'!$A$106=$R$49,AA51,"SELECT BP")))</f>
        <v>280.96987310072279</v>
      </c>
      <c r="AI51" s="637">
        <f>IF('Flow charts'!$A$106=$P$49,V51, IF('Flow charts'!$A$106=$Q$49,W51, IF('Flow charts'!$A$106=$R$49,X51,"SELECT BP")))</f>
        <v>113.02653128660296</v>
      </c>
      <c r="AJ51" s="637">
        <f t="shared" ref="AJ51:AJ59" si="20">AH51-AI51</f>
        <v>167.94334181411983</v>
      </c>
    </row>
    <row r="52" spans="1:36" ht="15" customHeight="1" x14ac:dyDescent="0.25">
      <c r="A52" s="885"/>
      <c r="B52" s="495">
        <v>47</v>
      </c>
      <c r="C52" s="250">
        <v>-56.6</v>
      </c>
      <c r="D52" s="250">
        <v>435.5</v>
      </c>
      <c r="E52" s="430">
        <f t="shared" ref="E52:E59" si="21">IF(OR(C52="",D52="", D52&lt;0),"---",        IF(AND(D52&gt;=O52,D52&gt;=ABS(C52)*M52),D52,"---"))</f>
        <v>435.5</v>
      </c>
      <c r="F52" s="408" t="e">
        <f>IF(OR(#REF!="", E52=""),"",(E52-#REF!*L52)^J52*(K52+E52*N52))</f>
        <v>#REF!</v>
      </c>
      <c r="G52" s="451">
        <f t="shared" si="18"/>
        <v>65.011106766880516</v>
      </c>
      <c r="H52" s="167">
        <v>65.02</v>
      </c>
      <c r="I52" s="212">
        <f t="shared" ref="I52:I59" si="22">(H52-G52)/H52</f>
        <v>1.3677688587326607E-4</v>
      </c>
      <c r="J52" s="496">
        <v>0.48799999999999999</v>
      </c>
      <c r="K52" s="359">
        <v>3.3508990000000001</v>
      </c>
      <c r="L52" s="301">
        <v>0</v>
      </c>
      <c r="M52" s="301">
        <v>0.12</v>
      </c>
      <c r="N52" s="428">
        <v>0</v>
      </c>
      <c r="O52" s="350">
        <v>250</v>
      </c>
      <c r="P52" s="360">
        <f t="shared" si="19"/>
        <v>250</v>
      </c>
      <c r="Q52" s="361">
        <f t="shared" si="19"/>
        <v>250</v>
      </c>
      <c r="R52" s="362">
        <f t="shared" si="19"/>
        <v>597.6</v>
      </c>
      <c r="S52" s="363">
        <v>4985</v>
      </c>
      <c r="T52" s="363">
        <v>1280</v>
      </c>
      <c r="U52" s="364">
        <v>4985</v>
      </c>
      <c r="V52" s="365">
        <f t="shared" si="11"/>
        <v>49.585655881148448</v>
      </c>
      <c r="W52" s="365">
        <f t="shared" si="11"/>
        <v>49.585655881148448</v>
      </c>
      <c r="X52" s="366">
        <f t="shared" si="11"/>
        <v>75.866439959479706</v>
      </c>
      <c r="Y52" s="374">
        <f t="shared" si="11"/>
        <v>213.61017571222803</v>
      </c>
      <c r="Z52" s="374">
        <f t="shared" si="11"/>
        <v>110.02206782012229</v>
      </c>
      <c r="AA52" s="374">
        <f t="shared" si="11"/>
        <v>213.61017571222803</v>
      </c>
      <c r="AH52" s="637">
        <f>IF('Flow charts'!$A$106=$P$49,Y52, IF('Flow charts'!$A$106=$Q$49,Z52, IF('Flow charts'!$A$106=$R$49,AA52,"SELECT BP")))</f>
        <v>213.61017571222803</v>
      </c>
      <c r="AI52" s="637">
        <f>IF('Flow charts'!$A$106=$P$49,V52, IF('Flow charts'!$A$106=$Q$49,W52, IF('Flow charts'!$A$106=$R$49,X52,"SELECT BP")))</f>
        <v>49.585655881148448</v>
      </c>
      <c r="AJ52" s="637">
        <f t="shared" si="20"/>
        <v>164.02451983107957</v>
      </c>
    </row>
    <row r="53" spans="1:36" ht="15" customHeight="1" x14ac:dyDescent="0.25">
      <c r="A53" s="885"/>
      <c r="B53" s="459">
        <v>29</v>
      </c>
      <c r="C53" s="248">
        <v>-50.2</v>
      </c>
      <c r="D53" s="248">
        <v>515.5</v>
      </c>
      <c r="E53" s="430">
        <f t="shared" si="21"/>
        <v>515.5</v>
      </c>
      <c r="F53" s="408" t="e">
        <f>IF(OR(#REF!="", E53=""),"",(E53-#REF!*L53)^J53*(K53+E53*N53))</f>
        <v>#REF!</v>
      </c>
      <c r="G53" s="451">
        <f t="shared" si="18"/>
        <v>25.539220179928034</v>
      </c>
      <c r="H53" s="167">
        <v>25.55</v>
      </c>
      <c r="I53" s="212">
        <f t="shared" si="22"/>
        <v>4.2191076602610936E-4</v>
      </c>
      <c r="J53" s="496">
        <v>0.49890000000000001</v>
      </c>
      <c r="K53" s="497">
        <v>1.1326004999999999</v>
      </c>
      <c r="L53" s="301">
        <v>0</v>
      </c>
      <c r="M53" s="301">
        <v>0.15</v>
      </c>
      <c r="N53" s="428">
        <v>0</v>
      </c>
      <c r="O53" s="350">
        <v>250</v>
      </c>
      <c r="P53" s="360">
        <f t="shared" si="19"/>
        <v>250</v>
      </c>
      <c r="Q53" s="361">
        <f t="shared" si="19"/>
        <v>250</v>
      </c>
      <c r="R53" s="362">
        <f t="shared" si="19"/>
        <v>747</v>
      </c>
      <c r="S53" s="363">
        <v>4985</v>
      </c>
      <c r="T53" s="363">
        <v>1355</v>
      </c>
      <c r="U53" s="364">
        <v>4985</v>
      </c>
      <c r="V53" s="365">
        <f t="shared" si="11"/>
        <v>17.799549857629788</v>
      </c>
      <c r="W53" s="365">
        <f t="shared" si="11"/>
        <v>17.799549857629788</v>
      </c>
      <c r="X53" s="366">
        <f t="shared" si="11"/>
        <v>30.730979100438645</v>
      </c>
      <c r="Y53" s="374">
        <f t="shared" si="11"/>
        <v>79.221287938583558</v>
      </c>
      <c r="Z53" s="374">
        <f t="shared" si="11"/>
        <v>41.361974582205249</v>
      </c>
      <c r="AA53" s="374">
        <f t="shared" si="11"/>
        <v>79.221287938583558</v>
      </c>
      <c r="AH53" s="637">
        <f>IF('Flow charts'!$A$106=$P$49,Y53, IF('Flow charts'!$A$106=$Q$49,Z53, IF('Flow charts'!$A$106=$R$49,AA53,"SELECT BP")))</f>
        <v>79.221287938583558</v>
      </c>
      <c r="AI53" s="637">
        <f>IF('Flow charts'!$A$106=$P$49,V53, IF('Flow charts'!$A$106=$Q$49,W53, IF('Flow charts'!$A$106=$R$49,X53,"SELECT BP")))</f>
        <v>17.799549857629788</v>
      </c>
      <c r="AJ53" s="637">
        <f t="shared" si="20"/>
        <v>61.421738080953773</v>
      </c>
    </row>
    <row r="54" spans="1:36" ht="15" customHeight="1" x14ac:dyDescent="0.25">
      <c r="A54" s="885"/>
      <c r="B54" s="498">
        <v>18</v>
      </c>
      <c r="C54" s="248">
        <v>53</v>
      </c>
      <c r="D54" s="248">
        <v>435.5</v>
      </c>
      <c r="E54" s="358">
        <f t="shared" si="21"/>
        <v>435.5</v>
      </c>
      <c r="F54" s="298" t="e">
        <f>IF(OR(#REF!="", E54=""),"",(E54-#REF!*L54)^J54*(K54+E54*N54))</f>
        <v>#REF!</v>
      </c>
      <c r="G54" s="458">
        <f t="shared" si="18"/>
        <v>8.9520496575920383</v>
      </c>
      <c r="H54" s="167">
        <v>8.9540000000000006</v>
      </c>
      <c r="I54" s="212">
        <f t="shared" si="22"/>
        <v>2.1781800401634178E-4</v>
      </c>
      <c r="J54" s="496">
        <v>0.49930000000000002</v>
      </c>
      <c r="K54" s="376">
        <v>0.43080000000000002</v>
      </c>
      <c r="L54" s="301">
        <v>0</v>
      </c>
      <c r="M54" s="301">
        <v>0.15</v>
      </c>
      <c r="N54" s="428">
        <v>0</v>
      </c>
      <c r="O54" s="350">
        <v>250</v>
      </c>
      <c r="P54" s="360">
        <f t="shared" si="19"/>
        <v>250</v>
      </c>
      <c r="Q54" s="361">
        <f t="shared" si="19"/>
        <v>250</v>
      </c>
      <c r="R54" s="362">
        <f t="shared" si="19"/>
        <v>747</v>
      </c>
      <c r="S54" s="363">
        <v>4985</v>
      </c>
      <c r="T54" s="363">
        <v>4985</v>
      </c>
      <c r="U54" s="364">
        <v>4985</v>
      </c>
      <c r="V54" s="461">
        <f t="shared" si="11"/>
        <v>6.7852701114897176</v>
      </c>
      <c r="W54" s="461">
        <f t="shared" si="11"/>
        <v>6.7852701114897176</v>
      </c>
      <c r="X54" s="462">
        <f t="shared" si="11"/>
        <v>11.719920645180547</v>
      </c>
      <c r="Y54" s="374">
        <f t="shared" si="11"/>
        <v>30.235691835969899</v>
      </c>
      <c r="Z54" s="374">
        <f t="shared" si="11"/>
        <v>30.235691835969899</v>
      </c>
      <c r="AA54" s="374">
        <f t="shared" si="11"/>
        <v>30.235691835969899</v>
      </c>
      <c r="AH54" s="637">
        <f>IF('Flow charts'!$A$106=$P$49,Y54, IF('Flow charts'!$A$106=$Q$49,Z54, IF('Flow charts'!$A$106=$R$49,AA54,"SELECT BP")))</f>
        <v>30.235691835969899</v>
      </c>
      <c r="AI54" s="639">
        <f>IF('Flow charts'!$A$106=$P$49,V54, IF('Flow charts'!$A$106=$Q$49,W54, IF('Flow charts'!$A$106=$R$49,X54,"SELECT BP")))</f>
        <v>6.7852701114897176</v>
      </c>
      <c r="AJ54" s="637">
        <f t="shared" si="20"/>
        <v>23.450421724480179</v>
      </c>
    </row>
    <row r="55" spans="1:36" ht="15" customHeight="1" x14ac:dyDescent="0.25">
      <c r="A55" s="885"/>
      <c r="B55" s="499">
        <v>11</v>
      </c>
      <c r="C55" s="248">
        <v>53</v>
      </c>
      <c r="D55" s="248">
        <v>435.5</v>
      </c>
      <c r="E55" s="430">
        <f t="shared" si="21"/>
        <v>435.5</v>
      </c>
      <c r="F55" s="298" t="e">
        <f>IF(OR(#REF!="", E55=""),"",(E55-#REF!*L55)^J55*(K55+E55*N55))</f>
        <v>#REF!</v>
      </c>
      <c r="G55" s="458">
        <f t="shared" si="18"/>
        <v>3.5552288956005014</v>
      </c>
      <c r="H55" s="167">
        <v>3.556</v>
      </c>
      <c r="I55" s="212">
        <f t="shared" si="22"/>
        <v>2.1684600660817739E-4</v>
      </c>
      <c r="J55" s="496">
        <v>0.50219999999999998</v>
      </c>
      <c r="K55" s="376">
        <v>0.1681</v>
      </c>
      <c r="L55" s="301">
        <v>0</v>
      </c>
      <c r="M55" s="301">
        <v>0.14000000000000001</v>
      </c>
      <c r="N55" s="428">
        <v>0</v>
      </c>
      <c r="O55" s="350">
        <v>250</v>
      </c>
      <c r="P55" s="360">
        <f t="shared" si="19"/>
        <v>250</v>
      </c>
      <c r="Q55" s="361">
        <f t="shared" si="19"/>
        <v>250</v>
      </c>
      <c r="R55" s="362">
        <f t="shared" si="19"/>
        <v>697.2</v>
      </c>
      <c r="S55" s="363">
        <v>4985</v>
      </c>
      <c r="T55" s="363">
        <v>4985</v>
      </c>
      <c r="U55" s="364">
        <v>4985</v>
      </c>
      <c r="V55" s="461">
        <f t="shared" si="11"/>
        <v>2.6903772741228802</v>
      </c>
      <c r="W55" s="461">
        <f t="shared" si="11"/>
        <v>2.6903772741228802</v>
      </c>
      <c r="X55" s="462">
        <f t="shared" si="11"/>
        <v>4.5029983610251598</v>
      </c>
      <c r="Y55" s="374">
        <f t="shared" si="11"/>
        <v>12.093030775859926</v>
      </c>
      <c r="Z55" s="374">
        <f t="shared" si="11"/>
        <v>12.093030775859926</v>
      </c>
      <c r="AA55" s="374">
        <f t="shared" si="11"/>
        <v>12.093030775859926</v>
      </c>
      <c r="AH55" s="637">
        <f>IF('Flow charts'!$A$106=$P$49,Y55, IF('Flow charts'!$A$106=$Q$49,Z55, IF('Flow charts'!$A$106=$R$49,AA55,"SELECT BP")))</f>
        <v>12.093030775859926</v>
      </c>
      <c r="AI55" s="639">
        <f>IF('Flow charts'!$A$106=$P$49,V55, IF('Flow charts'!$A$106=$Q$49,W55, IF('Flow charts'!$A$106=$R$49,X55,"SELECT BP")))</f>
        <v>2.6903772741228802</v>
      </c>
      <c r="AJ55" s="639">
        <f t="shared" si="20"/>
        <v>9.4026535017370456</v>
      </c>
    </row>
    <row r="56" spans="1:36" ht="15" customHeight="1" x14ac:dyDescent="0.25">
      <c r="A56" s="885"/>
      <c r="B56" s="498">
        <v>7</v>
      </c>
      <c r="C56" s="248">
        <v>53</v>
      </c>
      <c r="D56" s="248">
        <v>435.5</v>
      </c>
      <c r="E56" s="430">
        <f t="shared" si="21"/>
        <v>435.5</v>
      </c>
      <c r="F56" s="372" t="e">
        <f>IF(OR(#REF!="", E56=""),"",(E56-#REF!*L56)^J56*(K56+E56*N56))</f>
        <v>#REF!</v>
      </c>
      <c r="G56" s="458">
        <f t="shared" si="18"/>
        <v>1.3953746034203245</v>
      </c>
      <c r="H56" s="167">
        <v>1.3959999999999999</v>
      </c>
      <c r="I56" s="212">
        <f t="shared" si="22"/>
        <v>4.4799181925173287E-4</v>
      </c>
      <c r="J56" s="496">
        <v>0.50090000000000001</v>
      </c>
      <c r="K56" s="460">
        <v>6.6500000000000004E-2</v>
      </c>
      <c r="L56" s="301">
        <v>0</v>
      </c>
      <c r="M56" s="301">
        <v>0.08</v>
      </c>
      <c r="N56" s="428">
        <v>0</v>
      </c>
      <c r="O56" s="350">
        <v>250</v>
      </c>
      <c r="P56" s="360">
        <f t="shared" si="19"/>
        <v>250</v>
      </c>
      <c r="Q56" s="361">
        <f t="shared" si="19"/>
        <v>250</v>
      </c>
      <c r="R56" s="362">
        <f t="shared" si="19"/>
        <v>398.40000000000003</v>
      </c>
      <c r="S56" s="363">
        <v>4985</v>
      </c>
      <c r="T56" s="363">
        <v>4985</v>
      </c>
      <c r="U56" s="364">
        <v>4985</v>
      </c>
      <c r="V56" s="461">
        <f t="shared" si="11"/>
        <v>1.0566953483872743</v>
      </c>
      <c r="W56" s="461">
        <f t="shared" si="11"/>
        <v>1.0566953483872743</v>
      </c>
      <c r="X56" s="462">
        <f t="shared" si="11"/>
        <v>1.3345092782043442</v>
      </c>
      <c r="Y56" s="463">
        <f t="shared" si="11"/>
        <v>4.7313178536524862</v>
      </c>
      <c r="Z56" s="463">
        <f t="shared" si="11"/>
        <v>4.7313178536524862</v>
      </c>
      <c r="AA56" s="463">
        <f t="shared" si="11"/>
        <v>4.7313178536524862</v>
      </c>
      <c r="AH56" s="639">
        <f>IF('Flow charts'!$A$106=$P$49,Y56, IF('Flow charts'!$A$106=$Q$49,Z56, IF('Flow charts'!$A$106=$R$49,AA56,"SELECT BP")))</f>
        <v>4.7313178536524862</v>
      </c>
      <c r="AI56" s="639">
        <f>IF('Flow charts'!$A$106=$P$49,V56, IF('Flow charts'!$A$106=$Q$49,W56, IF('Flow charts'!$A$106=$R$49,X56,"SELECT BP")))</f>
        <v>1.0566953483872743</v>
      </c>
      <c r="AJ56" s="639">
        <f t="shared" si="20"/>
        <v>3.6746225052652122</v>
      </c>
    </row>
    <row r="57" spans="1:36" ht="15" customHeight="1" x14ac:dyDescent="0.25">
      <c r="A57" s="885"/>
      <c r="B57" s="498">
        <v>3</v>
      </c>
      <c r="C57" s="248">
        <v>53</v>
      </c>
      <c r="D57" s="248">
        <v>435.5</v>
      </c>
      <c r="E57" s="430">
        <f t="shared" si="21"/>
        <v>435.5</v>
      </c>
      <c r="F57" s="372" t="e">
        <f>IF(OR(#REF!="", E57=""),"",(E57-#REF!*L57)^J57*(K57+E57*N57))</f>
        <v>#REF!</v>
      </c>
      <c r="G57" s="458">
        <f t="shared" si="18"/>
        <v>0.39983289979332398</v>
      </c>
      <c r="H57" s="167">
        <v>0.39989999999999998</v>
      </c>
      <c r="I57" s="212">
        <f t="shared" si="22"/>
        <v>1.677924648061922E-4</v>
      </c>
      <c r="J57" s="496">
        <v>0.55400000000000005</v>
      </c>
      <c r="K57" s="460">
        <v>1.38E-2</v>
      </c>
      <c r="L57" s="301">
        <v>0</v>
      </c>
      <c r="M57" s="301">
        <v>0.1</v>
      </c>
      <c r="N57" s="428">
        <v>0</v>
      </c>
      <c r="O57" s="350">
        <v>250</v>
      </c>
      <c r="P57" s="360">
        <f t="shared" si="19"/>
        <v>250</v>
      </c>
      <c r="Q57" s="361">
        <f t="shared" si="19"/>
        <v>250</v>
      </c>
      <c r="R57" s="362">
        <f t="shared" si="19"/>
        <v>498</v>
      </c>
      <c r="S57" s="363">
        <v>3500</v>
      </c>
      <c r="T57" s="363">
        <v>3500</v>
      </c>
      <c r="U57" s="364">
        <v>3750</v>
      </c>
      <c r="V57" s="500">
        <f t="shared" si="11"/>
        <v>0.29399358302615847</v>
      </c>
      <c r="W57" s="500">
        <f t="shared" si="11"/>
        <v>0.29399358302615847</v>
      </c>
      <c r="X57" s="501">
        <f t="shared" si="11"/>
        <v>0.43066952594122826</v>
      </c>
      <c r="Y57" s="463">
        <f t="shared" si="11"/>
        <v>1.268506751262104</v>
      </c>
      <c r="Z57" s="463">
        <f t="shared" si="11"/>
        <v>1.268506751262104</v>
      </c>
      <c r="AA57" s="463">
        <f t="shared" si="11"/>
        <v>1.3179301966237609</v>
      </c>
      <c r="AH57" s="639">
        <f>IF('Flow charts'!$A$106=$P$49,Y57, IF('Flow charts'!$A$106=$Q$49,Z57, IF('Flow charts'!$A$106=$R$49,AA57,"SELECT BP")))</f>
        <v>1.268506751262104</v>
      </c>
      <c r="AI57" s="639">
        <f>IF('Flow charts'!$A$106=$P$49,V57, IF('Flow charts'!$A$106=$Q$49,W57, IF('Flow charts'!$A$106=$R$49,X57,"SELECT BP")))</f>
        <v>0.29399358302615847</v>
      </c>
      <c r="AJ57" s="639">
        <f t="shared" si="20"/>
        <v>0.97451316823594558</v>
      </c>
    </row>
    <row r="58" spans="1:36" ht="15" customHeight="1" x14ac:dyDescent="0.25">
      <c r="A58" s="885"/>
      <c r="B58" s="498">
        <v>2</v>
      </c>
      <c r="C58" s="248">
        <v>53</v>
      </c>
      <c r="D58" s="248">
        <v>435.5</v>
      </c>
      <c r="E58" s="430">
        <f t="shared" si="21"/>
        <v>435.5</v>
      </c>
      <c r="F58" s="372" t="e">
        <f>IF(OR(#REF!="", E58=""),"",(E58-#REF!*L58)^J58*(K58+E58*N58))</f>
        <v>#REF!</v>
      </c>
      <c r="G58" s="458">
        <f t="shared" si="18"/>
        <v>0.16277101854187226</v>
      </c>
      <c r="H58" s="167">
        <v>0.1628</v>
      </c>
      <c r="I58" s="212">
        <f t="shared" si="22"/>
        <v>1.780187845684364E-4</v>
      </c>
      <c r="J58" s="369">
        <v>0.53</v>
      </c>
      <c r="K58" s="460">
        <v>6.4999999999999997E-3</v>
      </c>
      <c r="L58" s="301">
        <v>0</v>
      </c>
      <c r="M58" s="301">
        <v>0.12</v>
      </c>
      <c r="N58" s="428">
        <v>0</v>
      </c>
      <c r="O58" s="350">
        <v>350</v>
      </c>
      <c r="P58" s="360">
        <f t="shared" si="19"/>
        <v>350</v>
      </c>
      <c r="Q58" s="361">
        <f t="shared" si="19"/>
        <v>350</v>
      </c>
      <c r="R58" s="362">
        <f t="shared" si="19"/>
        <v>597.6</v>
      </c>
      <c r="S58" s="363">
        <v>3500</v>
      </c>
      <c r="T58" s="363">
        <v>3500</v>
      </c>
      <c r="U58" s="364">
        <v>3500</v>
      </c>
      <c r="V58" s="500">
        <f t="shared" si="11"/>
        <v>0.14496708965716193</v>
      </c>
      <c r="W58" s="500">
        <f t="shared" si="11"/>
        <v>0.14496708965716193</v>
      </c>
      <c r="X58" s="501">
        <f t="shared" si="11"/>
        <v>0.19249123935064485</v>
      </c>
      <c r="Y58" s="463">
        <f t="shared" si="11"/>
        <v>0.49121251162837154</v>
      </c>
      <c r="Z58" s="463">
        <f t="shared" si="11"/>
        <v>0.49121251162837154</v>
      </c>
      <c r="AA58" s="463">
        <f t="shared" si="11"/>
        <v>0.49121251162837154</v>
      </c>
      <c r="AH58" s="639">
        <f>IF('Flow charts'!$A$106=$P$49,Y58, IF('Flow charts'!$A$106=$Q$49,Z58, IF('Flow charts'!$A$106=$R$49,AA58,"SELECT BP")))</f>
        <v>0.49121251162837154</v>
      </c>
      <c r="AI58" s="639">
        <f>IF('Flow charts'!$A$106=$P$49,V58, IF('Flow charts'!$A$106=$Q$49,W58, IF('Flow charts'!$A$106=$R$49,X58,"SELECT BP")))</f>
        <v>0.14496708965716193</v>
      </c>
      <c r="AJ58" s="639">
        <f t="shared" si="20"/>
        <v>0.34624542197120961</v>
      </c>
    </row>
    <row r="59" spans="1:36" ht="15.75" customHeight="1" thickBot="1" x14ac:dyDescent="0.3">
      <c r="A59" s="886"/>
      <c r="B59" s="502">
        <v>1</v>
      </c>
      <c r="C59" s="252">
        <v>53</v>
      </c>
      <c r="D59" s="252">
        <v>435.5</v>
      </c>
      <c r="E59" s="433">
        <f t="shared" si="21"/>
        <v>435.5</v>
      </c>
      <c r="F59" s="378" t="e">
        <f>IF(OR(#REF!="", E59=""),"",(E59-#REF!*L59)^J59*(K59+E59*N59))</f>
        <v>#REF!</v>
      </c>
      <c r="G59" s="503">
        <f t="shared" si="18"/>
        <v>6.1300432217880382E-2</v>
      </c>
      <c r="H59" s="173">
        <v>6.1310000000000003E-2</v>
      </c>
      <c r="I59" s="213">
        <f t="shared" si="22"/>
        <v>1.5605581666320437E-4</v>
      </c>
      <c r="J59" s="380">
        <v>0.56000000000000005</v>
      </c>
      <c r="K59" s="504">
        <v>2.0400000000000001E-3</v>
      </c>
      <c r="L59" s="381">
        <v>0</v>
      </c>
      <c r="M59" s="381">
        <v>0.12</v>
      </c>
      <c r="N59" s="434">
        <v>0</v>
      </c>
      <c r="O59" s="382">
        <v>350</v>
      </c>
      <c r="P59" s="314">
        <f t="shared" si="19"/>
        <v>350</v>
      </c>
      <c r="Q59" s="315">
        <f t="shared" si="19"/>
        <v>350</v>
      </c>
      <c r="R59" s="315">
        <f t="shared" si="19"/>
        <v>597.6</v>
      </c>
      <c r="S59" s="321">
        <v>3500</v>
      </c>
      <c r="T59" s="321">
        <v>3500</v>
      </c>
      <c r="U59" s="321">
        <v>3500</v>
      </c>
      <c r="V59" s="505">
        <f t="shared" si="11"/>
        <v>5.4238575173765985E-2</v>
      </c>
      <c r="W59" s="505">
        <f t="shared" si="11"/>
        <v>5.4238575173765985E-2</v>
      </c>
      <c r="X59" s="505">
        <f t="shared" si="11"/>
        <v>7.3184666339999857E-2</v>
      </c>
      <c r="Y59" s="469">
        <f t="shared" si="11"/>
        <v>0.19692836367592872</v>
      </c>
      <c r="Z59" s="469">
        <f t="shared" si="11"/>
        <v>0.19692836367592872</v>
      </c>
      <c r="AA59" s="469">
        <f t="shared" si="11"/>
        <v>0.19692836367592872</v>
      </c>
      <c r="AH59" s="639">
        <f>IF('Flow charts'!$A$106=$P$49,Y59, IF('Flow charts'!$A$106=$Q$49,Z59, IF('Flow charts'!$A$106=$R$49,AA59,"SELECT BP")))</f>
        <v>0.19692836367592872</v>
      </c>
      <c r="AI59" s="639">
        <f>IF('Flow charts'!$A$106=$P$49,V59, IF('Flow charts'!$A$106=$Q$49,W59, IF('Flow charts'!$A$106=$R$49,X59,"SELECT BP")))</f>
        <v>5.4238575173765985E-2</v>
      </c>
      <c r="AJ59" s="639">
        <f t="shared" si="20"/>
        <v>0.14268978850216274</v>
      </c>
    </row>
    <row r="60" spans="1:36" ht="31.5" customHeight="1" thickBot="1" x14ac:dyDescent="0.3">
      <c r="C60" s="471"/>
      <c r="D60" s="472"/>
      <c r="E60" s="472"/>
      <c r="G60" s="678"/>
      <c r="H60" s="675"/>
      <c r="I60" s="675"/>
      <c r="J60" s="471"/>
      <c r="K60" s="475"/>
      <c r="L60" s="475"/>
      <c r="M60" s="475"/>
      <c r="N60" s="475"/>
      <c r="O60" s="476"/>
      <c r="P60" s="477">
        <v>0</v>
      </c>
      <c r="Q60" s="478">
        <v>50</v>
      </c>
      <c r="R60" s="478">
        <v>75</v>
      </c>
      <c r="S60" s="478">
        <v>0</v>
      </c>
      <c r="T60" s="478">
        <v>50</v>
      </c>
      <c r="U60" s="478">
        <v>75</v>
      </c>
      <c r="V60" s="478">
        <v>0</v>
      </c>
      <c r="W60" s="478">
        <v>50</v>
      </c>
      <c r="X60" s="478">
        <v>75</v>
      </c>
      <c r="Y60" s="478">
        <v>0</v>
      </c>
      <c r="Z60" s="478">
        <v>50</v>
      </c>
      <c r="AA60" s="478">
        <v>75</v>
      </c>
      <c r="AB60" s="337"/>
      <c r="AC60" s="337"/>
      <c r="AH60" s="638"/>
      <c r="AI60" s="638"/>
      <c r="AJ60" s="638"/>
    </row>
    <row r="61" spans="1:36" ht="15.75" customHeight="1" x14ac:dyDescent="0.25">
      <c r="A61" s="884" t="s">
        <v>53</v>
      </c>
      <c r="B61" s="439" t="s">
        <v>4</v>
      </c>
      <c r="C61" s="247">
        <v>53</v>
      </c>
      <c r="D61" s="247">
        <v>435.5</v>
      </c>
      <c r="E61" s="387">
        <f t="shared" ref="E61:E71" si="23">IF(OR(C61="",D61="", D61&lt;0),"---",        IF(AND(D61&gt;=O61,D61&gt;=ABS(C61)*M61),D61,"---"))</f>
        <v>435.5</v>
      </c>
      <c r="F61" s="440" t="e">
        <f>IF(OR(#REF!="", E61=""),"",(E61-#REF!*L61)^J61*(K61+E61*N61))</f>
        <v>#REF!</v>
      </c>
      <c r="G61" s="506">
        <f t="shared" ref="G61:G71" si="24">IF(E61="---","---", (E61-ABS(C61)*L61)^J61*(K61+E61*N61))</f>
        <v>11208.771251851287</v>
      </c>
      <c r="H61" s="170">
        <v>11210</v>
      </c>
      <c r="I61" s="211">
        <f>(H61-G61)/H61</f>
        <v>1.0961178846680097E-4</v>
      </c>
      <c r="J61" s="507">
        <v>0.52139999999999997</v>
      </c>
      <c r="K61" s="341">
        <v>519.61829999999998</v>
      </c>
      <c r="L61" s="341">
        <v>-7.0000000000000007E-2</v>
      </c>
      <c r="M61" s="341">
        <v>0.8</v>
      </c>
      <c r="N61" s="565">
        <v>-0.115</v>
      </c>
      <c r="O61" s="442">
        <v>8.6</v>
      </c>
      <c r="P61" s="443">
        <f>IF($M61*P$60&gt;$O61, $M61*P$60, $O61)</f>
        <v>8.6</v>
      </c>
      <c r="Q61" s="444">
        <f>IF($M61*Q$60&gt;$O61, $M61*Q$60, $O61)</f>
        <v>40</v>
      </c>
      <c r="R61" s="445">
        <f>IF($M61*R$60&gt;$O61, $M61*R$60, $O61)</f>
        <v>60</v>
      </c>
      <c r="S61" s="446"/>
      <c r="T61" s="446"/>
      <c r="U61" s="447"/>
      <c r="V61" s="508">
        <f>($P61-ABS(V$60)*$L61)^$J61*($K61+$P61*$N61)</f>
        <v>1592.5920413665599</v>
      </c>
      <c r="W61" s="508">
        <f>($Q61-ABS(W$60)*$L61)^$J61*($K61+$Q61*$N61)</f>
        <v>3682.3999802347703</v>
      </c>
      <c r="X61" s="509">
        <f>($R61-ABS(X$60)*$L61)^$J61*($K61+$R61*$N61)</f>
        <v>4528.9872666190677</v>
      </c>
      <c r="Y61" s="446"/>
      <c r="Z61" s="446"/>
      <c r="AA61" s="446"/>
      <c r="AH61" s="638"/>
      <c r="AI61" s="638"/>
      <c r="AJ61" s="638"/>
    </row>
    <row r="62" spans="1:36" ht="15.75" customHeight="1" x14ac:dyDescent="0.25">
      <c r="A62" s="885"/>
      <c r="B62" s="431" t="s">
        <v>55</v>
      </c>
      <c r="C62" s="250">
        <v>-56.6</v>
      </c>
      <c r="D62" s="250">
        <v>165</v>
      </c>
      <c r="E62" s="430">
        <f t="shared" si="23"/>
        <v>165</v>
      </c>
      <c r="F62" s="408" t="e">
        <f>IF(OR(#REF!="", E62=""),"",(E62-#REF!*L62)^J62*(K62+E62*N62))</f>
        <v>#REF!</v>
      </c>
      <c r="G62" s="453">
        <f t="shared" si="24"/>
        <v>3500.923538822678</v>
      </c>
      <c r="H62" s="167">
        <v>3500</v>
      </c>
      <c r="I62" s="212">
        <f t="shared" ref="I62:I71" si="25">(H62-G62)/H62</f>
        <v>-2.6386823505085237E-4</v>
      </c>
      <c r="J62" s="369">
        <v>0.503</v>
      </c>
      <c r="K62" s="359">
        <v>264.99590000000001</v>
      </c>
      <c r="L62" s="301">
        <v>-7.4999999999999997E-2</v>
      </c>
      <c r="M62" s="301">
        <v>1</v>
      </c>
      <c r="N62" s="428">
        <v>0</v>
      </c>
      <c r="O62" s="350">
        <v>12</v>
      </c>
      <c r="P62" s="360">
        <f t="shared" ref="P62:R71" si="26">IF($M62*P$60&gt;$O62, $M62*P$60, $O62)</f>
        <v>12</v>
      </c>
      <c r="Q62" s="361">
        <f t="shared" si="26"/>
        <v>50</v>
      </c>
      <c r="R62" s="362">
        <f t="shared" si="26"/>
        <v>75</v>
      </c>
      <c r="S62" s="363"/>
      <c r="T62" s="363"/>
      <c r="U62" s="364"/>
      <c r="V62" s="510">
        <f t="shared" ref="V62:V71" si="27">($P62-ABS(V$60)*$L62)^$J62*($K62+$P62*$N62)</f>
        <v>924.84152546369035</v>
      </c>
      <c r="W62" s="510">
        <f t="shared" ref="W62:W71" si="28">($Q62-ABS(W$60)*$L62)^$J62*($K62+$Q62*$N62)</f>
        <v>1966.1630234802801</v>
      </c>
      <c r="X62" s="511">
        <f t="shared" ref="X62:X71" si="29">($R62-ABS(X$60)*$L62)^$J62*($K62+$R62*$N62)</f>
        <v>2410.9789999693917</v>
      </c>
      <c r="Y62" s="363"/>
      <c r="Z62" s="363"/>
      <c r="AA62" s="363"/>
      <c r="AH62" s="638"/>
      <c r="AI62" s="638"/>
      <c r="AJ62" s="638"/>
    </row>
    <row r="63" spans="1:36" ht="15.75" customHeight="1" x14ac:dyDescent="0.25">
      <c r="A63" s="885"/>
      <c r="B63" s="452" t="s">
        <v>56</v>
      </c>
      <c r="C63" s="250">
        <v>53</v>
      </c>
      <c r="D63" s="250">
        <v>435.5</v>
      </c>
      <c r="E63" s="430">
        <f t="shared" si="23"/>
        <v>435.5</v>
      </c>
      <c r="F63" s="408" t="e">
        <f>IF(OR(#REF!="", E63=""),"",(E63-#REF!*L63)^J63*(K63+E63*N63))</f>
        <v>#REF!</v>
      </c>
      <c r="G63" s="388">
        <f t="shared" si="24"/>
        <v>3649.5572803917571</v>
      </c>
      <c r="H63" s="167">
        <v>3650</v>
      </c>
      <c r="I63" s="212">
        <f t="shared" si="25"/>
        <v>1.2129304335421818E-4</v>
      </c>
      <c r="J63" s="369">
        <v>0.5</v>
      </c>
      <c r="K63" s="359">
        <v>174.88239999999999</v>
      </c>
      <c r="L63" s="301">
        <v>0</v>
      </c>
      <c r="M63" s="301">
        <v>0.3</v>
      </c>
      <c r="N63" s="428">
        <v>0</v>
      </c>
      <c r="O63" s="350">
        <v>10</v>
      </c>
      <c r="P63" s="336">
        <f t="shared" si="26"/>
        <v>10</v>
      </c>
      <c r="Q63" s="351">
        <f t="shared" si="26"/>
        <v>15</v>
      </c>
      <c r="R63" s="335">
        <f t="shared" si="26"/>
        <v>22.5</v>
      </c>
      <c r="S63" s="352"/>
      <c r="T63" s="352"/>
      <c r="U63" s="353"/>
      <c r="V63" s="512">
        <f t="shared" si="27"/>
        <v>553.02670667663062</v>
      </c>
      <c r="W63" s="512">
        <f t="shared" si="28"/>
        <v>677.3166227447839</v>
      </c>
      <c r="X63" s="391">
        <f t="shared" si="29"/>
        <v>829.54006001494588</v>
      </c>
      <c r="Y63" s="352"/>
      <c r="Z63" s="352"/>
      <c r="AA63" s="352"/>
      <c r="AH63" s="638"/>
      <c r="AI63" s="638"/>
      <c r="AJ63" s="638"/>
    </row>
    <row r="64" spans="1:36" ht="15.75" customHeight="1" x14ac:dyDescent="0.25">
      <c r="A64" s="885"/>
      <c r="B64" s="431" t="s">
        <v>57</v>
      </c>
      <c r="C64" s="250">
        <v>53</v>
      </c>
      <c r="D64" s="250">
        <v>435.5</v>
      </c>
      <c r="E64" s="430">
        <f t="shared" si="23"/>
        <v>435.5</v>
      </c>
      <c r="F64" s="408" t="e">
        <f>IF(OR(#REF!="", E64=""),"",(E64-#REF!*L64)^J64*(K64+E64*N64))</f>
        <v>#REF!</v>
      </c>
      <c r="G64" s="451">
        <f t="shared" si="24"/>
        <v>1785.7699545902994</v>
      </c>
      <c r="H64" s="167">
        <v>1786</v>
      </c>
      <c r="I64" s="212">
        <f t="shared" si="25"/>
        <v>1.2880482066100299E-4</v>
      </c>
      <c r="J64" s="369">
        <v>0.5</v>
      </c>
      <c r="K64" s="359">
        <v>78.5</v>
      </c>
      <c r="L64" s="301">
        <v>-0.02</v>
      </c>
      <c r="M64" s="301">
        <v>0.5</v>
      </c>
      <c r="N64" s="428">
        <v>1.6E-2</v>
      </c>
      <c r="O64" s="350">
        <v>10</v>
      </c>
      <c r="P64" s="360">
        <f t="shared" si="26"/>
        <v>10</v>
      </c>
      <c r="Q64" s="361">
        <f t="shared" si="26"/>
        <v>25</v>
      </c>
      <c r="R64" s="362">
        <f t="shared" si="26"/>
        <v>37.5</v>
      </c>
      <c r="S64" s="363"/>
      <c r="T64" s="363"/>
      <c r="U64" s="364"/>
      <c r="V64" s="510">
        <f t="shared" si="27"/>
        <v>248.74476074884473</v>
      </c>
      <c r="W64" s="510">
        <f t="shared" si="28"/>
        <v>402.31263962247073</v>
      </c>
      <c r="X64" s="511">
        <f t="shared" si="29"/>
        <v>493.97934167331329</v>
      </c>
      <c r="Y64" s="363"/>
      <c r="Z64" s="363"/>
      <c r="AA64" s="363"/>
      <c r="AH64" s="638"/>
      <c r="AI64" s="638"/>
      <c r="AJ64" s="638"/>
    </row>
    <row r="65" spans="1:36" ht="15.75" customHeight="1" x14ac:dyDescent="0.25">
      <c r="A65" s="885"/>
      <c r="B65" s="431" t="s">
        <v>58</v>
      </c>
      <c r="C65" s="250">
        <v>53</v>
      </c>
      <c r="D65" s="250">
        <v>435.5</v>
      </c>
      <c r="E65" s="430">
        <f t="shared" si="23"/>
        <v>435.5</v>
      </c>
      <c r="F65" s="298" t="e">
        <f>IF(OR(#REF!="", E65=""),"",(E65-#REF!*L65)^J65*(K65+E65*N65))</f>
        <v>#REF!</v>
      </c>
      <c r="G65" s="464">
        <f t="shared" si="24"/>
        <v>1351.6770409073722</v>
      </c>
      <c r="H65" s="167">
        <v>1352</v>
      </c>
      <c r="I65" s="212">
        <f t="shared" si="25"/>
        <v>2.3887506851168482E-4</v>
      </c>
      <c r="J65" s="300">
        <v>0.505</v>
      </c>
      <c r="K65" s="301">
        <v>61.3</v>
      </c>
      <c r="L65" s="301">
        <v>5.3999999999999999E-2</v>
      </c>
      <c r="M65" s="301">
        <v>0.5</v>
      </c>
      <c r="N65" s="428">
        <v>4.0000000000000001E-3</v>
      </c>
      <c r="O65" s="350">
        <v>10</v>
      </c>
      <c r="P65" s="336">
        <f t="shared" si="26"/>
        <v>10</v>
      </c>
      <c r="Q65" s="351">
        <f t="shared" si="26"/>
        <v>25</v>
      </c>
      <c r="R65" s="335">
        <f t="shared" si="26"/>
        <v>37.5</v>
      </c>
      <c r="S65" s="352"/>
      <c r="T65" s="352"/>
      <c r="U65" s="353"/>
      <c r="V65" s="512">
        <f t="shared" si="27"/>
        <v>196.22022602847034</v>
      </c>
      <c r="W65" s="512">
        <f t="shared" si="28"/>
        <v>294.48442274225471</v>
      </c>
      <c r="X65" s="391">
        <f t="shared" si="29"/>
        <v>361.69452002391199</v>
      </c>
      <c r="Y65" s="352"/>
      <c r="Z65" s="352"/>
      <c r="AA65" s="352"/>
      <c r="AH65" s="638"/>
      <c r="AI65" s="638"/>
      <c r="AJ65" s="638"/>
    </row>
    <row r="66" spans="1:36" ht="15.75" customHeight="1" x14ac:dyDescent="0.25">
      <c r="A66" s="885"/>
      <c r="B66" s="457" t="s">
        <v>59</v>
      </c>
      <c r="C66" s="250">
        <v>53</v>
      </c>
      <c r="D66" s="250">
        <v>435.5</v>
      </c>
      <c r="E66" s="430">
        <f t="shared" si="23"/>
        <v>435.5</v>
      </c>
      <c r="F66" s="298" t="e">
        <f>IF(OR(#REF!="", E66=""),"",(E66-#REF!*L66)^J66*(K66+E66*N66))</f>
        <v>#REF!</v>
      </c>
      <c r="G66" s="455">
        <f t="shared" si="24"/>
        <v>926.52266541225811</v>
      </c>
      <c r="H66" s="167">
        <v>926.7</v>
      </c>
      <c r="I66" s="212">
        <f t="shared" si="25"/>
        <v>1.9136137665041412E-4</v>
      </c>
      <c r="J66" s="369">
        <v>0.50770000000000004</v>
      </c>
      <c r="K66" s="376">
        <v>42</v>
      </c>
      <c r="L66" s="301">
        <v>8.9999999999999993E-3</v>
      </c>
      <c r="M66" s="301">
        <v>0.5</v>
      </c>
      <c r="N66" s="428">
        <v>8.9999999999999998E-4</v>
      </c>
      <c r="O66" s="350">
        <v>10</v>
      </c>
      <c r="P66" s="360">
        <f t="shared" si="26"/>
        <v>10</v>
      </c>
      <c r="Q66" s="361">
        <f t="shared" si="26"/>
        <v>25</v>
      </c>
      <c r="R66" s="362">
        <f t="shared" si="26"/>
        <v>37.5</v>
      </c>
      <c r="S66" s="363"/>
      <c r="T66" s="363"/>
      <c r="U66" s="364"/>
      <c r="V66" s="510">
        <f t="shared" si="27"/>
        <v>135.22043961341475</v>
      </c>
      <c r="W66" s="510">
        <f t="shared" si="28"/>
        <v>213.40816455330273</v>
      </c>
      <c r="X66" s="511">
        <f t="shared" si="29"/>
        <v>262.25804163385158</v>
      </c>
      <c r="Y66" s="363"/>
      <c r="Z66" s="363"/>
      <c r="AA66" s="363"/>
      <c r="AH66" s="638"/>
      <c r="AI66" s="638"/>
      <c r="AJ66" s="638"/>
    </row>
    <row r="67" spans="1:36" ht="15.75" customHeight="1" x14ac:dyDescent="0.25">
      <c r="A67" s="885"/>
      <c r="B67" s="459" t="s">
        <v>60</v>
      </c>
      <c r="C67" s="250">
        <v>53</v>
      </c>
      <c r="D67" s="250">
        <v>435.5</v>
      </c>
      <c r="E67" s="430">
        <f t="shared" si="23"/>
        <v>435.5</v>
      </c>
      <c r="F67" s="372" t="e">
        <f>IF(OR(#REF!="", E67=""),"",(E67-#REF!*L67)^J67*(K67+E67*N67))</f>
        <v>#REF!</v>
      </c>
      <c r="G67" s="458">
        <f t="shared" si="24"/>
        <v>504.62598426223843</v>
      </c>
      <c r="H67" s="167">
        <v>504.7</v>
      </c>
      <c r="I67" s="212">
        <f t="shared" si="25"/>
        <v>1.4665293790678822E-4</v>
      </c>
      <c r="J67" s="369">
        <v>0.52</v>
      </c>
      <c r="K67" s="301">
        <v>22</v>
      </c>
      <c r="L67" s="301">
        <v>0.11</v>
      </c>
      <c r="M67" s="301">
        <v>0.5</v>
      </c>
      <c r="N67" s="428">
        <v>-1E-3</v>
      </c>
      <c r="O67" s="350">
        <v>10</v>
      </c>
      <c r="P67" s="336">
        <f t="shared" si="26"/>
        <v>10</v>
      </c>
      <c r="Q67" s="351">
        <f t="shared" si="26"/>
        <v>25</v>
      </c>
      <c r="R67" s="335">
        <f t="shared" si="26"/>
        <v>37.5</v>
      </c>
      <c r="S67" s="352"/>
      <c r="T67" s="352"/>
      <c r="U67" s="353"/>
      <c r="V67" s="512">
        <f t="shared" si="27"/>
        <v>72.815733614021795</v>
      </c>
      <c r="W67" s="512">
        <f t="shared" si="28"/>
        <v>102.97857590452337</v>
      </c>
      <c r="X67" s="391">
        <f t="shared" si="29"/>
        <v>127.0770800432384</v>
      </c>
      <c r="Y67" s="352"/>
      <c r="Z67" s="352"/>
      <c r="AA67" s="352"/>
      <c r="AH67" s="638"/>
      <c r="AI67" s="638"/>
      <c r="AJ67" s="638"/>
    </row>
    <row r="68" spans="1:36" ht="15.75" customHeight="1" x14ac:dyDescent="0.25">
      <c r="A68" s="885"/>
      <c r="B68" s="431" t="s">
        <v>61</v>
      </c>
      <c r="C68" s="250">
        <v>53</v>
      </c>
      <c r="D68" s="250">
        <v>435.5</v>
      </c>
      <c r="E68" s="430">
        <f t="shared" si="23"/>
        <v>435.5</v>
      </c>
      <c r="F68" s="372" t="e">
        <f>IF(OR(#REF!="", E68=""),"",(E68-#REF!*L68)^J68*(K68+E68*N68))</f>
        <v>#REF!</v>
      </c>
      <c r="G68" s="458">
        <f t="shared" si="24"/>
        <v>300.30983506366249</v>
      </c>
      <c r="H68" s="167">
        <v>300.39999999999998</v>
      </c>
      <c r="I68" s="212">
        <f t="shared" si="25"/>
        <v>3.0014958834050347E-4</v>
      </c>
      <c r="J68" s="300">
        <v>0.54100000000000004</v>
      </c>
      <c r="K68" s="460">
        <v>11.9239</v>
      </c>
      <c r="L68" s="301">
        <v>0.13</v>
      </c>
      <c r="M68" s="301">
        <v>0.4</v>
      </c>
      <c r="N68" s="428">
        <v>-1.4E-3</v>
      </c>
      <c r="O68" s="350">
        <v>10</v>
      </c>
      <c r="P68" s="360">
        <f t="shared" si="26"/>
        <v>10</v>
      </c>
      <c r="Q68" s="361">
        <f t="shared" si="26"/>
        <v>20</v>
      </c>
      <c r="R68" s="362">
        <f t="shared" si="26"/>
        <v>30</v>
      </c>
      <c r="S68" s="363"/>
      <c r="T68" s="363"/>
      <c r="U68" s="364"/>
      <c r="V68" s="510">
        <f t="shared" si="27"/>
        <v>41.39120929172438</v>
      </c>
      <c r="W68" s="510">
        <f t="shared" si="28"/>
        <v>48.630403550205621</v>
      </c>
      <c r="X68" s="511">
        <f t="shared" si="29"/>
        <v>60.486970434198767</v>
      </c>
      <c r="Y68" s="363"/>
      <c r="Z68" s="363"/>
      <c r="AA68" s="363"/>
      <c r="AH68" s="638"/>
      <c r="AI68" s="638"/>
      <c r="AJ68" s="638"/>
    </row>
    <row r="69" spans="1:36" ht="15.75" customHeight="1" x14ac:dyDescent="0.25">
      <c r="A69" s="885"/>
      <c r="B69" s="431" t="s">
        <v>62</v>
      </c>
      <c r="C69" s="250">
        <v>53</v>
      </c>
      <c r="D69" s="250">
        <v>435.5</v>
      </c>
      <c r="E69" s="430">
        <f>IF(OR(C69="",D69="", D69&lt;0),"---",        IF(AND(D69&gt;=O69,D69&gt;=ABS(C69)*M69),D69,"---"))</f>
        <v>435.5</v>
      </c>
      <c r="F69" s="372" t="e">
        <f>IF(OR(#REF!="", E69=""),"",(E69-#REF!*L69)^J69*(K69+E69*N69))</f>
        <v>#REF!</v>
      </c>
      <c r="G69" s="458">
        <f>IF(E69="---","---", (E69-ABS(C69)*L69)^J69*(K69+E69*N69))</f>
        <v>78.966379501576796</v>
      </c>
      <c r="H69" s="167">
        <v>78.98</v>
      </c>
      <c r="I69" s="212">
        <f t="shared" si="25"/>
        <v>1.724550319474298E-4</v>
      </c>
      <c r="J69" s="300">
        <v>0.48</v>
      </c>
      <c r="K69" s="460">
        <v>4.0994999999999999</v>
      </c>
      <c r="L69" s="301">
        <v>3.0000000000000001E-3</v>
      </c>
      <c r="M69" s="301">
        <v>1</v>
      </c>
      <c r="N69" s="428">
        <v>4.0000000000000002E-4</v>
      </c>
      <c r="O69" s="350">
        <v>10</v>
      </c>
      <c r="P69" s="336">
        <f t="shared" si="26"/>
        <v>10</v>
      </c>
      <c r="Q69" s="351">
        <f t="shared" si="26"/>
        <v>50</v>
      </c>
      <c r="R69" s="335">
        <f t="shared" si="26"/>
        <v>75</v>
      </c>
      <c r="S69" s="352"/>
      <c r="T69" s="352"/>
      <c r="U69" s="353"/>
      <c r="V69" s="512">
        <f t="shared" si="27"/>
        <v>12.392371884669673</v>
      </c>
      <c r="W69" s="512">
        <f t="shared" si="28"/>
        <v>26.898235106975161</v>
      </c>
      <c r="X69" s="391">
        <f t="shared" si="29"/>
        <v>32.756730893711762</v>
      </c>
      <c r="Y69" s="352"/>
      <c r="Z69" s="352"/>
      <c r="AA69" s="352"/>
      <c r="AH69" s="638"/>
      <c r="AI69" s="638"/>
      <c r="AJ69" s="638"/>
    </row>
    <row r="70" spans="1:36" ht="15.75" customHeight="1" x14ac:dyDescent="0.25">
      <c r="A70" s="885"/>
      <c r="B70" s="431" t="s">
        <v>63</v>
      </c>
      <c r="C70" s="250">
        <v>53</v>
      </c>
      <c r="D70" s="250">
        <v>435.5</v>
      </c>
      <c r="E70" s="430">
        <f t="shared" si="23"/>
        <v>435.5</v>
      </c>
      <c r="F70" s="372" t="e">
        <f>IF(OR(#REF!="", E70=""),"",(E70-#REF!*L70)^J70*(K70+E70*N70))</f>
        <v>#REF!</v>
      </c>
      <c r="G70" s="458">
        <f t="shared" si="24"/>
        <v>44.599736059583563</v>
      </c>
      <c r="H70" s="167">
        <v>44.61</v>
      </c>
      <c r="I70" s="212">
        <f t="shared" si="25"/>
        <v>2.300816053897425E-4</v>
      </c>
      <c r="J70" s="369">
        <v>0.502</v>
      </c>
      <c r="K70" s="460">
        <v>2.0678000000000001</v>
      </c>
      <c r="L70" s="301">
        <v>0</v>
      </c>
      <c r="M70" s="301">
        <v>0.5</v>
      </c>
      <c r="N70" s="428">
        <v>1E-4</v>
      </c>
      <c r="O70" s="350">
        <v>10</v>
      </c>
      <c r="P70" s="360">
        <f t="shared" si="26"/>
        <v>10</v>
      </c>
      <c r="Q70" s="361">
        <f t="shared" si="26"/>
        <v>25</v>
      </c>
      <c r="R70" s="362">
        <f t="shared" si="26"/>
        <v>37.5</v>
      </c>
      <c r="S70" s="363"/>
      <c r="T70" s="363"/>
      <c r="U70" s="364"/>
      <c r="V70" s="365">
        <f t="shared" si="27"/>
        <v>6.5723170773602462</v>
      </c>
      <c r="W70" s="510">
        <f t="shared" si="28"/>
        <v>10.418355354386694</v>
      </c>
      <c r="X70" s="511">
        <f t="shared" si="29"/>
        <v>12.777889157933513</v>
      </c>
      <c r="Y70" s="363"/>
      <c r="Z70" s="363"/>
      <c r="AA70" s="363"/>
      <c r="AH70" s="638"/>
      <c r="AI70" s="638"/>
      <c r="AJ70" s="638"/>
    </row>
    <row r="71" spans="1:36" ht="15.75" customHeight="1" thickBot="1" x14ac:dyDescent="0.3">
      <c r="A71" s="886"/>
      <c r="B71" s="513" t="s">
        <v>64</v>
      </c>
      <c r="C71" s="249">
        <v>53</v>
      </c>
      <c r="D71" s="249">
        <v>435.5</v>
      </c>
      <c r="E71" s="433">
        <f t="shared" si="23"/>
        <v>435.5</v>
      </c>
      <c r="F71" s="378" t="e">
        <f>IF(OR(#REF!="", E71=""),"",(E71-#REF!*L71)^J71*(K71+E71*N71))</f>
        <v>#REF!</v>
      </c>
      <c r="G71" s="503">
        <f t="shared" si="24"/>
        <v>23.880955590977432</v>
      </c>
      <c r="H71" s="173">
        <v>23.89</v>
      </c>
      <c r="I71" s="213">
        <f t="shared" si="25"/>
        <v>3.7858555975588484E-4</v>
      </c>
      <c r="J71" s="380">
        <v>0.49249999999999999</v>
      </c>
      <c r="K71" s="465">
        <v>1.1614</v>
      </c>
      <c r="L71" s="381">
        <v>0.1</v>
      </c>
      <c r="M71" s="381">
        <v>0.5</v>
      </c>
      <c r="N71" s="434">
        <v>1E-4</v>
      </c>
      <c r="O71" s="382">
        <v>10</v>
      </c>
      <c r="P71" s="314">
        <f t="shared" si="26"/>
        <v>10</v>
      </c>
      <c r="Q71" s="315">
        <f t="shared" si="26"/>
        <v>25</v>
      </c>
      <c r="R71" s="316">
        <f t="shared" si="26"/>
        <v>37.5</v>
      </c>
      <c r="S71" s="321"/>
      <c r="T71" s="321"/>
      <c r="U71" s="466"/>
      <c r="V71" s="384">
        <f t="shared" si="27"/>
        <v>3.6128971733443667</v>
      </c>
      <c r="W71" s="384">
        <f t="shared" si="28"/>
        <v>5.0894744801957508</v>
      </c>
      <c r="X71" s="385">
        <f t="shared" si="29"/>
        <v>6.2210552366904741</v>
      </c>
      <c r="Y71" s="321"/>
      <c r="Z71" s="321"/>
      <c r="AA71" s="321"/>
      <c r="AH71" s="638"/>
      <c r="AI71" s="638"/>
      <c r="AJ71" s="638"/>
    </row>
    <row r="72" spans="1:36" ht="15.75" customHeight="1" x14ac:dyDescent="0.25">
      <c r="AH72" s="638"/>
      <c r="AI72" s="638"/>
      <c r="AJ72" s="638"/>
    </row>
    <row r="73" spans="1:36" ht="15.75" customHeight="1" x14ac:dyDescent="0.25">
      <c r="AH73" s="638"/>
      <c r="AI73" s="638"/>
      <c r="AJ73" s="638"/>
    </row>
    <row r="74" spans="1:36" ht="166.5" customHeight="1" thickBot="1" x14ac:dyDescent="0.3">
      <c r="G74" s="890" t="s">
        <v>71</v>
      </c>
      <c r="H74" s="890"/>
      <c r="I74" s="890"/>
      <c r="J74" s="890"/>
      <c r="K74" s="890"/>
      <c r="L74" s="890"/>
      <c r="M74" s="890"/>
      <c r="N74" s="890"/>
      <c r="O74" s="890"/>
      <c r="P74" s="263"/>
      <c r="AH74" s="638"/>
      <c r="AI74" s="638"/>
      <c r="AJ74" s="638"/>
    </row>
    <row r="75" spans="1:36" ht="37.5" customHeight="1" thickBot="1" x14ac:dyDescent="0.3">
      <c r="C75" s="899" t="s">
        <v>28</v>
      </c>
      <c r="D75" s="900"/>
      <c r="E75" s="267" t="s">
        <v>38</v>
      </c>
      <c r="G75" s="891"/>
      <c r="H75" s="891"/>
      <c r="I75" s="891"/>
      <c r="J75" s="891"/>
      <c r="K75" s="891"/>
      <c r="L75" s="891"/>
      <c r="M75" s="891"/>
      <c r="N75" s="891"/>
      <c r="O75" s="891"/>
      <c r="P75" s="263"/>
      <c r="T75" s="913" t="s">
        <v>74</v>
      </c>
      <c r="U75" s="914"/>
      <c r="V75" s="915" t="s">
        <v>77</v>
      </c>
      <c r="W75" s="916"/>
      <c r="X75" s="907" t="s">
        <v>75</v>
      </c>
      <c r="Y75" s="912"/>
      <c r="Z75" s="909" t="s">
        <v>76</v>
      </c>
      <c r="AA75" s="911"/>
      <c r="AH75" s="638"/>
      <c r="AI75" s="638"/>
      <c r="AJ75" s="638"/>
    </row>
    <row r="76" spans="1:36" ht="59.25" customHeight="1" thickBot="1" x14ac:dyDescent="0.35">
      <c r="A76" s="270" t="s">
        <v>7</v>
      </c>
      <c r="B76" s="270" t="s">
        <v>8</v>
      </c>
      <c r="C76" s="271" t="s">
        <v>34</v>
      </c>
      <c r="D76" s="272" t="s">
        <v>30</v>
      </c>
      <c r="E76" s="514" t="s">
        <v>40</v>
      </c>
      <c r="F76" s="515" t="s">
        <v>27</v>
      </c>
      <c r="G76" s="275" t="s">
        <v>26</v>
      </c>
      <c r="H76" s="164" t="s">
        <v>93</v>
      </c>
      <c r="I76" s="164" t="s">
        <v>46</v>
      </c>
      <c r="J76" s="516" t="s">
        <v>1</v>
      </c>
      <c r="K76" s="517" t="s">
        <v>0</v>
      </c>
      <c r="L76" s="517" t="s">
        <v>19</v>
      </c>
      <c r="M76" s="517" t="s">
        <v>20</v>
      </c>
      <c r="N76" s="517" t="s">
        <v>21</v>
      </c>
      <c r="O76" s="517" t="s">
        <v>22</v>
      </c>
      <c r="P76" s="517" t="s">
        <v>23</v>
      </c>
      <c r="Q76" s="517" t="s">
        <v>24</v>
      </c>
      <c r="R76" s="517" t="s">
        <v>25</v>
      </c>
      <c r="S76" s="518" t="s">
        <v>6</v>
      </c>
      <c r="T76" s="519">
        <v>250</v>
      </c>
      <c r="U76" s="280">
        <v>500</v>
      </c>
      <c r="V76" s="520">
        <v>250</v>
      </c>
      <c r="W76" s="520">
        <v>500</v>
      </c>
      <c r="X76" s="280">
        <v>250</v>
      </c>
      <c r="Y76" s="280">
        <v>500</v>
      </c>
      <c r="Z76" s="520">
        <v>250</v>
      </c>
      <c r="AA76" s="520">
        <v>500</v>
      </c>
      <c r="AH76" s="636" t="s">
        <v>82</v>
      </c>
      <c r="AI76" s="636" t="s">
        <v>83</v>
      </c>
      <c r="AJ76" s="636" t="s">
        <v>80</v>
      </c>
    </row>
    <row r="77" spans="1:36" ht="15" customHeight="1" x14ac:dyDescent="0.25">
      <c r="A77" s="884">
        <v>4000</v>
      </c>
      <c r="B77" s="521" t="s">
        <v>4</v>
      </c>
      <c r="C77" s="247">
        <v>-56.6</v>
      </c>
      <c r="D77" s="247">
        <v>165</v>
      </c>
      <c r="E77" s="387">
        <f>IF(OR(C77="",D77="",D77&lt;0),"",        IF(AND(C77&gt;=0,D77&gt;=S77, D77&gt;=ABS(C77)*R77),D77,         IF(AND(C77&lt;0, (ABS(D77)-ABS(C77))&gt;=S77, (ABS(D77)-ABS(C77))&gt;=ABS(C77)*R77),(ABS(D77)-ABS(C77)),"---")))</f>
        <v>108.4</v>
      </c>
      <c r="F77" s="440" t="e">
        <f>IF(OR(#REF!="", E77=""),"",E77^J77*K77)</f>
        <v>#REF!</v>
      </c>
      <c r="G77" s="522">
        <f>IF(E77="---","---", E77^J77*K77)</f>
        <v>5392.3495064520312</v>
      </c>
      <c r="H77" s="170">
        <v>5390</v>
      </c>
      <c r="I77" s="211">
        <f>(H77-G77)/H77</f>
        <v>-4.3590101150856481E-4</v>
      </c>
      <c r="J77" s="523">
        <v>0.53</v>
      </c>
      <c r="K77" s="341">
        <v>450</v>
      </c>
      <c r="L77" s="524"/>
      <c r="M77" s="524"/>
      <c r="N77" s="525"/>
      <c r="O77" s="526"/>
      <c r="P77" s="526"/>
      <c r="Q77" s="526"/>
      <c r="R77" s="527">
        <v>0.2</v>
      </c>
      <c r="S77" s="442">
        <v>10</v>
      </c>
      <c r="T77" s="443">
        <f>IF($R77*T$76&gt;$S77, $R77*T$76, $S77)</f>
        <v>50</v>
      </c>
      <c r="U77" s="444">
        <f>IF($R77*U$76&gt;$S77, $R77*U$76, $S77)</f>
        <v>100</v>
      </c>
      <c r="V77" s="446">
        <v>195</v>
      </c>
      <c r="W77" s="446">
        <v>105</v>
      </c>
      <c r="X77" s="528">
        <f t="shared" ref="X77:AA79" si="30">T77^$J77*$K77</f>
        <v>3578.2165169576538</v>
      </c>
      <c r="Y77" s="528">
        <f>U77^$J77*$K77</f>
        <v>5166.6912967359749</v>
      </c>
      <c r="Z77" s="529">
        <f t="shared" si="30"/>
        <v>7360.8989838090019</v>
      </c>
      <c r="AA77" s="529">
        <f t="shared" si="30"/>
        <v>5302.0380764437959</v>
      </c>
      <c r="AH77" s="640">
        <f>IF('Flow charts'!$A$172=$T$76,Z77, IF('Flow charts'!$A$172=$U$76,AA77, "SELECT BP"))</f>
        <v>7360.8989838090019</v>
      </c>
      <c r="AI77" s="640">
        <f>IF('Flow charts'!$A$172=$T$76,X77, IF('Flow charts'!$A$172=$U$76,Y77, "SELECT BP"))</f>
        <v>3578.2165169576538</v>
      </c>
      <c r="AJ77" s="640">
        <f>AH77-AI77</f>
        <v>3782.6824668513482</v>
      </c>
    </row>
    <row r="78" spans="1:36" ht="15" customHeight="1" x14ac:dyDescent="0.25">
      <c r="A78" s="885"/>
      <c r="B78" s="499" t="s">
        <v>11</v>
      </c>
      <c r="C78" s="250">
        <v>53</v>
      </c>
      <c r="D78" s="250">
        <v>435.5</v>
      </c>
      <c r="E78" s="358">
        <f>IF(OR(C78="",D78="",D78&lt;0),"",        IF(AND(C78&gt;=0,D78&gt;=S78, D78&gt;=ABS(C78)*R78),D78,         IF(AND(C78&lt;0, (ABS(D78)-ABS(C78))&gt;=S78, (ABS(D78)-ABS(C78))&gt;=ABS(C78)*R78),(ABS(D78)-ABS(C78)),"---")))</f>
        <v>435.5</v>
      </c>
      <c r="F78" s="408" t="e">
        <f>IF(OR(#REF!="", E78=""),"",E78^J78*K78)</f>
        <v>#REF!</v>
      </c>
      <c r="G78" s="530">
        <f>IF(E78="---","---", E78^J78*K78)</f>
        <v>5715.1878815940163</v>
      </c>
      <c r="H78" s="167">
        <v>5716</v>
      </c>
      <c r="I78" s="212">
        <f>(H78-G78)/H78</f>
        <v>1.4207809761786398E-4</v>
      </c>
      <c r="J78" s="531">
        <v>0.48499999999999999</v>
      </c>
      <c r="K78" s="301">
        <v>300</v>
      </c>
      <c r="L78" s="376"/>
      <c r="M78" s="376"/>
      <c r="N78" s="532"/>
      <c r="O78" s="533"/>
      <c r="P78" s="533"/>
      <c r="Q78" s="533"/>
      <c r="R78" s="534">
        <v>0.2</v>
      </c>
      <c r="S78" s="350">
        <v>20</v>
      </c>
      <c r="T78" s="360">
        <f t="shared" ref="T78:U80" si="31">IF($R78*T$76&gt;$S78, $R78*T$76, $S78)</f>
        <v>50</v>
      </c>
      <c r="U78" s="361">
        <f t="shared" si="31"/>
        <v>100</v>
      </c>
      <c r="V78" s="363">
        <v>395</v>
      </c>
      <c r="W78" s="363">
        <v>213</v>
      </c>
      <c r="X78" s="535">
        <f>T78^$J78*$K78</f>
        <v>2000.4223900906072</v>
      </c>
      <c r="Y78" s="535">
        <f t="shared" si="30"/>
        <v>2799.7629023909731</v>
      </c>
      <c r="Z78" s="536">
        <f t="shared" si="30"/>
        <v>5450.9330270758546</v>
      </c>
      <c r="AA78" s="536">
        <f t="shared" si="30"/>
        <v>4040.0371846142343</v>
      </c>
      <c r="AH78" s="640">
        <f>IF('Flow charts'!$A$172=$T$76,Z78, IF('Flow charts'!$A$172=$U$76,AA78, "SELECT BP"))</f>
        <v>5450.9330270758546</v>
      </c>
      <c r="AI78" s="640">
        <f>IF('Flow charts'!$A$172=$T$76,X78, IF('Flow charts'!$A$172=$U$76,Y78, "SELECT BP"))</f>
        <v>2000.4223900906072</v>
      </c>
      <c r="AJ78" s="640">
        <f>AH78-AI78</f>
        <v>3450.5106369852474</v>
      </c>
    </row>
    <row r="79" spans="1:36" ht="15" customHeight="1" x14ac:dyDescent="0.25">
      <c r="A79" s="885"/>
      <c r="B79" s="495" t="s">
        <v>12</v>
      </c>
      <c r="C79" s="250">
        <v>53</v>
      </c>
      <c r="D79" s="250">
        <v>435.5</v>
      </c>
      <c r="E79" s="323">
        <f>IF(OR(C79="",D79="",D79&lt;0),"",        IF(AND(C79&gt;=0,D79&gt;=S79, D79&gt;=ABS(C79)*R79),D79,         IF(AND(C79&lt;0, (ABS(D79)-ABS(C79))&gt;=S79, (ABS(D79)-ABS(C79))&gt;=ABS(C79)*R79),(ABS(D79)-ABS(C79)),"---")))</f>
        <v>435.5</v>
      </c>
      <c r="F79" s="408" t="e">
        <f>IF(OR(#REF!="", E79=""),"",E79^J79*K79)</f>
        <v>#REF!</v>
      </c>
      <c r="G79" s="537">
        <f>IF(E79="---","---", E79^J79*K79)</f>
        <v>2992.799094668514</v>
      </c>
      <c r="H79" s="167">
        <v>2993</v>
      </c>
      <c r="I79" s="212">
        <f>(H79-G79)/H79</f>
        <v>6.7125068989627696E-5</v>
      </c>
      <c r="J79" s="531">
        <v>0.52</v>
      </c>
      <c r="K79" s="301">
        <v>127</v>
      </c>
      <c r="L79" s="538"/>
      <c r="M79" s="538"/>
      <c r="N79" s="539"/>
      <c r="O79" s="540"/>
      <c r="P79" s="540"/>
      <c r="Q79" s="540"/>
      <c r="R79" s="541">
        <v>0.2</v>
      </c>
      <c r="S79" s="350">
        <v>15</v>
      </c>
      <c r="T79" s="360">
        <f t="shared" si="31"/>
        <v>50</v>
      </c>
      <c r="U79" s="361">
        <f t="shared" si="31"/>
        <v>100</v>
      </c>
      <c r="V79" s="363">
        <v>660</v>
      </c>
      <c r="W79" s="363">
        <v>330</v>
      </c>
      <c r="X79" s="535">
        <f>T79^$J79*$K79</f>
        <v>971.10932229488594</v>
      </c>
      <c r="Y79" s="535">
        <f t="shared" si="30"/>
        <v>1392.5273091018455</v>
      </c>
      <c r="Z79" s="536">
        <f t="shared" si="30"/>
        <v>3715.0662892584696</v>
      </c>
      <c r="AA79" s="536">
        <f t="shared" si="30"/>
        <v>2590.7825885075763</v>
      </c>
      <c r="AH79" s="640">
        <f>IF('Flow charts'!$A$172=$T$76,Z79, IF('Flow charts'!$A$172=$U$76,AA79, "SELECT BP"))</f>
        <v>3715.0662892584696</v>
      </c>
      <c r="AI79" s="640">
        <f>IF('Flow charts'!$A$172=$T$76,X79, IF('Flow charts'!$A$172=$U$76,Y79, "SELECT BP"))</f>
        <v>971.10932229488594</v>
      </c>
      <c r="AJ79" s="640">
        <f>AH79-AI79</f>
        <v>2743.9569669635839</v>
      </c>
    </row>
    <row r="80" spans="1:36" ht="15" customHeight="1" thickBot="1" x14ac:dyDescent="0.3">
      <c r="A80" s="886"/>
      <c r="B80" s="502" t="s">
        <v>13</v>
      </c>
      <c r="C80" s="249">
        <v>53</v>
      </c>
      <c r="D80" s="249">
        <v>435.5</v>
      </c>
      <c r="E80" s="433">
        <f>IF(OR(C80="",D80="",D80&lt;0),"",        IF(AND(C80&gt;=0,D80&gt;=S80, D80&gt;=ABS(C80)*R80),D80,         IF(AND(C80&lt;0, (ABS(D80)-ABS(C80))&gt;=S80, (ABS(D80)-ABS(C80))&gt;=ABS(C80)*R80),(ABS(D80)-ABS(C80)),"---")))</f>
        <v>435.5</v>
      </c>
      <c r="F80" s="542" t="e">
        <f>IF(OR(#REF!="", E80=""),"",E80^3*N80+E80^2*O80+E80*P80+Q80+(L80-#REF!)*M80)</f>
        <v>#REF!</v>
      </c>
      <c r="G80" s="543">
        <f>IF(E80="---","---", E80^3*N80+E80^2*O80+E80*P80+Q80+(L80-ABS(C80))*M80)</f>
        <v>1303.9674473525001</v>
      </c>
      <c r="H80" s="169">
        <v>1304</v>
      </c>
      <c r="I80" s="213">
        <f>(H80-G80)/H80</f>
        <v>2.4963686733028863E-5</v>
      </c>
      <c r="J80" s="544"/>
      <c r="K80" s="545"/>
      <c r="L80" s="381">
        <v>0</v>
      </c>
      <c r="M80" s="546">
        <v>0.7</v>
      </c>
      <c r="N80" s="547">
        <v>6.6200000000000001E-6</v>
      </c>
      <c r="O80" s="548">
        <v>-7.7999999999999996E-3</v>
      </c>
      <c r="P80" s="549">
        <v>4.75</v>
      </c>
      <c r="Q80" s="550">
        <v>205</v>
      </c>
      <c r="R80" s="551">
        <v>0.2</v>
      </c>
      <c r="S80" s="382">
        <v>25</v>
      </c>
      <c r="T80" s="314">
        <f t="shared" si="31"/>
        <v>50</v>
      </c>
      <c r="U80" s="315">
        <f t="shared" si="31"/>
        <v>100</v>
      </c>
      <c r="V80" s="552">
        <v>485</v>
      </c>
      <c r="W80" s="552">
        <v>425</v>
      </c>
      <c r="X80" s="553">
        <f>T80^3*$N80+T80^2*$O80+T80*$P80+$Q80+($L80-ABS(X$76))*$M80</f>
        <v>248.82749999999999</v>
      </c>
      <c r="Y80" s="553">
        <f>U80^3*$N80+U80^2*$O80+U80*$P80+$Q80+($L80-ABS(Y$76))*$M80</f>
        <v>258.62</v>
      </c>
      <c r="Z80" s="554">
        <f>V80^3*$N80+V80^2*$O80+V80*$P80+$Q80+($L80-ABS(Z$76))*$M80</f>
        <v>1254.2319075</v>
      </c>
      <c r="AA80" s="554">
        <f>W80^3*$N80+W80^2*$O80+W80*$P80+$Q80+($L80-ABS(AA$76))*$M80</f>
        <v>973.06343749999996</v>
      </c>
      <c r="AH80" s="640">
        <f>IF('Flow charts'!$A$172=$T$76,Z80, IF('Flow charts'!$A$172=$U$76,AA80, "SELECT BP"))</f>
        <v>1254.2319075</v>
      </c>
      <c r="AI80" s="640">
        <f>IF('Flow charts'!$A$172=$T$76,X80, IF('Flow charts'!$A$172=$U$76,Y80, "SELECT BP"))</f>
        <v>248.82749999999999</v>
      </c>
      <c r="AJ80" s="640">
        <f>AH80-AI80</f>
        <v>1005.4044075</v>
      </c>
    </row>
    <row r="81" spans="1:36" s="263" customFormat="1" ht="15.75" customHeight="1" x14ac:dyDescent="0.25">
      <c r="AH81" s="638"/>
      <c r="AI81" s="638"/>
      <c r="AJ81" s="638"/>
    </row>
    <row r="82" spans="1:36" s="263" customFormat="1" ht="15.75" customHeight="1" x14ac:dyDescent="0.25">
      <c r="AH82" s="638"/>
      <c r="AI82" s="638"/>
      <c r="AJ82" s="638"/>
    </row>
    <row r="83" spans="1:36" s="269" customFormat="1" ht="201" customHeight="1" thickBot="1" x14ac:dyDescent="0.3">
      <c r="A83" s="470"/>
      <c r="B83" s="459"/>
      <c r="C83" s="259"/>
      <c r="D83" s="259"/>
      <c r="E83" s="259"/>
      <c r="F83" s="259"/>
      <c r="G83" s="890" t="s">
        <v>72</v>
      </c>
      <c r="H83" s="890"/>
      <c r="I83" s="890"/>
      <c r="J83" s="890"/>
      <c r="K83" s="890"/>
      <c r="L83" s="890"/>
      <c r="M83" s="890"/>
      <c r="N83" s="890"/>
      <c r="O83" s="890"/>
      <c r="P83" s="263"/>
      <c r="Q83" s="263"/>
      <c r="R83" s="259"/>
      <c r="S83" s="259"/>
      <c r="X83" s="334"/>
      <c r="AH83" s="641"/>
      <c r="AI83" s="641"/>
      <c r="AJ83" s="641"/>
    </row>
    <row r="84" spans="1:36" s="269" customFormat="1" ht="38.25" customHeight="1" thickBot="1" x14ac:dyDescent="0.3">
      <c r="A84" s="470"/>
      <c r="B84" s="459"/>
      <c r="C84" s="899" t="s">
        <v>28</v>
      </c>
      <c r="D84" s="900"/>
      <c r="E84" s="267" t="s">
        <v>38</v>
      </c>
      <c r="F84" s="259"/>
      <c r="G84" s="891"/>
      <c r="H84" s="891"/>
      <c r="I84" s="891"/>
      <c r="J84" s="891"/>
      <c r="K84" s="891"/>
      <c r="L84" s="891"/>
      <c r="M84" s="891"/>
      <c r="N84" s="891"/>
      <c r="O84" s="891"/>
      <c r="P84" s="895" t="s">
        <v>74</v>
      </c>
      <c r="Q84" s="895"/>
      <c r="R84" s="895"/>
      <c r="S84" s="906" t="s">
        <v>77</v>
      </c>
      <c r="T84" s="906"/>
      <c r="U84" s="906"/>
      <c r="V84" s="895" t="s">
        <v>75</v>
      </c>
      <c r="W84" s="895"/>
      <c r="X84" s="895"/>
      <c r="Y84" s="906" t="s">
        <v>76</v>
      </c>
      <c r="Z84" s="906"/>
      <c r="AA84" s="906"/>
      <c r="AH84" s="641"/>
      <c r="AI84" s="641"/>
      <c r="AJ84" s="641"/>
    </row>
    <row r="85" spans="1:36" ht="50.25" customHeight="1" thickBot="1" x14ac:dyDescent="0.35">
      <c r="A85" s="270" t="s">
        <v>7</v>
      </c>
      <c r="B85" s="270" t="s">
        <v>8</v>
      </c>
      <c r="C85" s="669" t="s">
        <v>34</v>
      </c>
      <c r="D85" s="556" t="s">
        <v>30</v>
      </c>
      <c r="E85" s="557" t="s">
        <v>40</v>
      </c>
      <c r="F85" s="558" t="s">
        <v>27</v>
      </c>
      <c r="G85" s="275" t="s">
        <v>26</v>
      </c>
      <c r="H85" s="164" t="s">
        <v>93</v>
      </c>
      <c r="I85" s="164" t="s">
        <v>46</v>
      </c>
      <c r="J85" s="276" t="s">
        <v>1</v>
      </c>
      <c r="K85" s="277" t="s">
        <v>0</v>
      </c>
      <c r="L85" s="277" t="s">
        <v>2</v>
      </c>
      <c r="M85" s="277" t="s">
        <v>5</v>
      </c>
      <c r="N85" s="277" t="s">
        <v>3</v>
      </c>
      <c r="O85" s="278" t="s">
        <v>6</v>
      </c>
      <c r="P85" s="559">
        <v>0</v>
      </c>
      <c r="Q85" s="478">
        <v>50</v>
      </c>
      <c r="R85" s="560">
        <v>75</v>
      </c>
      <c r="S85" s="561">
        <v>0</v>
      </c>
      <c r="T85" s="561">
        <v>50</v>
      </c>
      <c r="U85" s="561">
        <v>75</v>
      </c>
      <c r="V85" s="478">
        <v>0</v>
      </c>
      <c r="W85" s="478">
        <v>50</v>
      </c>
      <c r="X85" s="478">
        <v>75</v>
      </c>
      <c r="Y85" s="561">
        <v>0</v>
      </c>
      <c r="Z85" s="561">
        <v>50</v>
      </c>
      <c r="AA85" s="561">
        <v>75</v>
      </c>
      <c r="AH85" s="638"/>
      <c r="AI85" s="638"/>
      <c r="AJ85" s="638"/>
    </row>
    <row r="86" spans="1:36" ht="15.75" customHeight="1" x14ac:dyDescent="0.25">
      <c r="A86" s="884" t="s">
        <v>65</v>
      </c>
      <c r="B86" s="755" t="s">
        <v>4</v>
      </c>
      <c r="C86" s="247">
        <v>77.7</v>
      </c>
      <c r="D86" s="247">
        <v>230.5</v>
      </c>
      <c r="E86" s="387">
        <f>IF(OR(C86="",D86="",D86&lt;0),"",        IF(AND(C86&lt;=0,D86&gt;=O86, D86&gt;=ABS(C86)*M86),D86,         IF(AND(C86&gt;0, (ABS(D86)-C86)&gt;=O86, (ABS(D86)-C86)&gt;=ABS(C86)*M86),(ABS(D86)-C86),"---")))</f>
        <v>152.80000000000001</v>
      </c>
      <c r="F86" s="440" t="e">
        <f>IF(OR(#REF!="", E86=""),"",(E86-#REF!*L86)^J86*(K86+E86*N86))</f>
        <v>#REF!</v>
      </c>
      <c r="G86" s="563">
        <f>IF(E86="---","---", (E86-ABS(C86)*L86)^J86*(K86+E86*N86))</f>
        <v>7038.2687366427626</v>
      </c>
      <c r="H86" s="170">
        <v>7036</v>
      </c>
      <c r="I86" s="211">
        <f>(H86-G86)/H86</f>
        <v>-3.224469361515965E-4</v>
      </c>
      <c r="J86" s="507">
        <v>0.52139999999999997</v>
      </c>
      <c r="K86" s="754">
        <v>519.61829999999998</v>
      </c>
      <c r="L86" s="341">
        <v>-7.0000000000000007E-2</v>
      </c>
      <c r="M86" s="341">
        <v>0.8</v>
      </c>
      <c r="N86" s="565">
        <v>-0.115</v>
      </c>
      <c r="O86" s="566">
        <v>8.6</v>
      </c>
      <c r="P86" s="485">
        <f>IF($M86*P$85&gt;$O86, $M86*P$85, $O86)</f>
        <v>8.6</v>
      </c>
      <c r="Q86" s="486">
        <f>IF($M86*Q$85&gt;$O86, $M86*Q$85, $O86)</f>
        <v>40</v>
      </c>
      <c r="R86" s="487">
        <f>IF($M86*R$85&gt;$O86, $M86*R$85, $O86)</f>
        <v>60</v>
      </c>
      <c r="S86" s="295"/>
      <c r="T86" s="295"/>
      <c r="U86" s="295"/>
      <c r="V86" s="294">
        <f>($P86-ABS(V$85)*$L86)^$J86*($K86+$P86*$N86)</f>
        <v>1592.5920413665599</v>
      </c>
      <c r="W86" s="294">
        <f>($Q86-ABS(W$85)*$L86)^$J86*($K86+$Q86*$N86)</f>
        <v>3682.3999802347703</v>
      </c>
      <c r="X86" s="294">
        <f>($R86-ABS(X$85)*$L86)^$J86*($K86+$R86*$N86)</f>
        <v>4528.9872666190677</v>
      </c>
      <c r="Y86" s="295"/>
      <c r="Z86" s="295"/>
      <c r="AA86" s="295"/>
      <c r="AB86" s="567"/>
      <c r="AH86" s="638"/>
      <c r="AI86" s="638"/>
      <c r="AJ86" s="638"/>
    </row>
    <row r="87" spans="1:36" ht="15.75" customHeight="1" x14ac:dyDescent="0.25">
      <c r="A87" s="885"/>
      <c r="B87" s="756" t="s">
        <v>55</v>
      </c>
      <c r="C87" s="250">
        <v>-56.6</v>
      </c>
      <c r="D87" s="250">
        <v>165</v>
      </c>
      <c r="E87" s="430">
        <f t="shared" ref="E87:E96" si="32">IF(OR(C87="",D87="",D87&lt;0),"",        IF(AND(C87&lt;=0,D87&gt;=O87, D87&gt;=ABS(C87)*M87),D87,         IF(AND(C87&gt;0, (ABS(D87)-C87)&gt;=O87, (ABS(D87)-C87)&gt;=ABS(C87)*M87),(ABS(D87)-C87),"---")))</f>
        <v>165</v>
      </c>
      <c r="F87" s="408" t="e">
        <f>IF(OR(#REF!="", E87=""),"",(E87-#REF!*L87)^J87*(K87+E87*N87))</f>
        <v>#REF!</v>
      </c>
      <c r="G87" s="568">
        <f>IF(E87="---","---", (E87-ABS(C87)*L87)^J87*(K87+E87*N87))</f>
        <v>3500.923538822678</v>
      </c>
      <c r="H87" s="167">
        <v>3500</v>
      </c>
      <c r="I87" s="212">
        <f t="shared" ref="I87:I96" si="33">(H87-G87)/H87</f>
        <v>-2.6386823505085237E-4</v>
      </c>
      <c r="J87" s="749">
        <v>0.503</v>
      </c>
      <c r="K87" s="751">
        <v>264.99590000000001</v>
      </c>
      <c r="L87" s="349">
        <v>-7.4999999999999997E-2</v>
      </c>
      <c r="M87" s="349">
        <v>1</v>
      </c>
      <c r="N87" s="569">
        <v>0</v>
      </c>
      <c r="O87" s="570">
        <v>12</v>
      </c>
      <c r="P87" s="360">
        <f t="shared" ref="P87:R96" si="34">IF($M87*P$85&gt;$O87, $M87*P$85, $O87)</f>
        <v>12</v>
      </c>
      <c r="Q87" s="361">
        <f t="shared" si="34"/>
        <v>50</v>
      </c>
      <c r="R87" s="362">
        <f t="shared" si="34"/>
        <v>75</v>
      </c>
      <c r="S87" s="363"/>
      <c r="T87" s="363"/>
      <c r="U87" s="363"/>
      <c r="V87" s="510">
        <f t="shared" ref="V87:V96" si="35">($P87-ABS(V$85)*$L87)^$J87*($K87+$P87*$N87)</f>
        <v>924.84152546369035</v>
      </c>
      <c r="W87" s="510">
        <f t="shared" ref="W87:W96" si="36">($Q87-ABS(W$85)*$L87)^$J87*($K87+$Q87*$N87)</f>
        <v>1966.1630234802801</v>
      </c>
      <c r="X87" s="510">
        <f t="shared" ref="X87:X96" si="37">($R87-ABS(X$85)*$L87)^$J87*($K87+$R87*$N87)</f>
        <v>2410.9789999693917</v>
      </c>
      <c r="Y87" s="363"/>
      <c r="Z87" s="363"/>
      <c r="AA87" s="363"/>
      <c r="AB87" s="571"/>
      <c r="AH87" s="638"/>
      <c r="AI87" s="638"/>
      <c r="AJ87" s="638"/>
    </row>
    <row r="88" spans="1:36" ht="15.75" customHeight="1" x14ac:dyDescent="0.25">
      <c r="A88" s="885"/>
      <c r="B88" s="572" t="s">
        <v>56</v>
      </c>
      <c r="C88" s="250">
        <v>77.7</v>
      </c>
      <c r="D88" s="250">
        <v>230.5</v>
      </c>
      <c r="E88" s="430">
        <f t="shared" si="32"/>
        <v>152.80000000000001</v>
      </c>
      <c r="F88" s="408" t="e">
        <f>IF(OR(#REF!="", E88=""),"",(E88-#REF!*L88)^J88*(K88+E88*N88))</f>
        <v>#REF!</v>
      </c>
      <c r="G88" s="568">
        <f t="shared" ref="G88:G95" si="38">IF(E88="---","---", (E88-ABS(C88)*L88)^J88*(K88+E88*N88))</f>
        <v>2161.7615190365768</v>
      </c>
      <c r="H88" s="167">
        <v>2161</v>
      </c>
      <c r="I88" s="212">
        <f t="shared" si="33"/>
        <v>-3.5239196509802338E-4</v>
      </c>
      <c r="J88" s="749">
        <v>0.5</v>
      </c>
      <c r="K88" s="348">
        <v>174.88239999999999</v>
      </c>
      <c r="L88" s="349">
        <v>0</v>
      </c>
      <c r="M88" s="349">
        <v>0.3</v>
      </c>
      <c r="N88" s="569">
        <v>0</v>
      </c>
      <c r="O88" s="570">
        <v>10</v>
      </c>
      <c r="P88" s="360">
        <f t="shared" si="34"/>
        <v>10</v>
      </c>
      <c r="Q88" s="361">
        <f t="shared" si="34"/>
        <v>15</v>
      </c>
      <c r="R88" s="362">
        <f t="shared" si="34"/>
        <v>22.5</v>
      </c>
      <c r="S88" s="363"/>
      <c r="T88" s="363"/>
      <c r="U88" s="363"/>
      <c r="V88" s="510">
        <f t="shared" si="35"/>
        <v>553.02670667663062</v>
      </c>
      <c r="W88" s="510">
        <f t="shared" si="36"/>
        <v>677.3166227447839</v>
      </c>
      <c r="X88" s="510">
        <f t="shared" si="37"/>
        <v>829.54006001494588</v>
      </c>
      <c r="Y88" s="363"/>
      <c r="Z88" s="363"/>
      <c r="AA88" s="363"/>
      <c r="AB88" s="567"/>
      <c r="AH88" s="638"/>
      <c r="AI88" s="638"/>
      <c r="AJ88" s="638"/>
    </row>
    <row r="89" spans="1:36" ht="15.75" customHeight="1" x14ac:dyDescent="0.25">
      <c r="A89" s="885"/>
      <c r="B89" s="756" t="s">
        <v>57</v>
      </c>
      <c r="C89" s="250">
        <v>77.7</v>
      </c>
      <c r="D89" s="250">
        <v>230.5</v>
      </c>
      <c r="E89" s="430">
        <f t="shared" si="32"/>
        <v>152.80000000000001</v>
      </c>
      <c r="F89" s="408" t="e">
        <f>IF(OR(#REF!="", E89=""),"",(E89-#REF!*L89)^J89*(K89+E89*N89))</f>
        <v>#REF!</v>
      </c>
      <c r="G89" s="530">
        <f t="shared" si="38"/>
        <v>1005.6524096889602</v>
      </c>
      <c r="H89" s="167">
        <v>1005</v>
      </c>
      <c r="I89" s="212">
        <f t="shared" si="33"/>
        <v>-6.4916386961217244E-4</v>
      </c>
      <c r="J89" s="749">
        <v>0.5</v>
      </c>
      <c r="K89" s="348">
        <v>78.5</v>
      </c>
      <c r="L89" s="349">
        <v>-0.02</v>
      </c>
      <c r="M89" s="349">
        <v>0.5</v>
      </c>
      <c r="N89" s="569">
        <v>1.6E-2</v>
      </c>
      <c r="O89" s="570">
        <v>10</v>
      </c>
      <c r="P89" s="336">
        <f t="shared" si="34"/>
        <v>10</v>
      </c>
      <c r="Q89" s="351">
        <f t="shared" si="34"/>
        <v>25</v>
      </c>
      <c r="R89" s="335">
        <f t="shared" si="34"/>
        <v>37.5</v>
      </c>
      <c r="S89" s="352"/>
      <c r="T89" s="352"/>
      <c r="U89" s="352"/>
      <c r="V89" s="512">
        <f t="shared" si="35"/>
        <v>248.74476074884473</v>
      </c>
      <c r="W89" s="512">
        <f t="shared" si="36"/>
        <v>402.31263962247073</v>
      </c>
      <c r="X89" s="512">
        <f t="shared" si="37"/>
        <v>493.97934167331329</v>
      </c>
      <c r="Y89" s="352"/>
      <c r="Z89" s="352"/>
      <c r="AA89" s="352"/>
      <c r="AB89" s="567"/>
      <c r="AH89" s="638"/>
      <c r="AI89" s="638"/>
      <c r="AJ89" s="638"/>
    </row>
    <row r="90" spans="1:36" ht="15.75" customHeight="1" x14ac:dyDescent="0.25">
      <c r="A90" s="885"/>
      <c r="B90" s="757" t="s">
        <v>58</v>
      </c>
      <c r="C90" s="250">
        <v>77.7</v>
      </c>
      <c r="D90" s="250">
        <v>230.5</v>
      </c>
      <c r="E90" s="358">
        <f t="shared" si="32"/>
        <v>152.80000000000001</v>
      </c>
      <c r="F90" s="408" t="e">
        <f>IF(OR(#REF!="", E90=""),"",(E90-#REF!*L90)^J90*(K90+E90*N90))</f>
        <v>#REF!</v>
      </c>
      <c r="G90" s="530">
        <f t="shared" si="38"/>
        <v>773.82885389206228</v>
      </c>
      <c r="H90" s="167">
        <v>773.6</v>
      </c>
      <c r="I90" s="212">
        <f t="shared" si="33"/>
        <v>-2.9582974671957257E-4</v>
      </c>
      <c r="J90" s="749">
        <v>0.505</v>
      </c>
      <c r="K90" s="348">
        <v>61.3</v>
      </c>
      <c r="L90" s="349">
        <v>5.3999999999999999E-2</v>
      </c>
      <c r="M90" s="349">
        <v>0.5</v>
      </c>
      <c r="N90" s="569">
        <v>4.0000000000000001E-3</v>
      </c>
      <c r="O90" s="570">
        <v>10</v>
      </c>
      <c r="P90" s="360">
        <f t="shared" si="34"/>
        <v>10</v>
      </c>
      <c r="Q90" s="361">
        <f t="shared" si="34"/>
        <v>25</v>
      </c>
      <c r="R90" s="362">
        <f t="shared" si="34"/>
        <v>37.5</v>
      </c>
      <c r="S90" s="363"/>
      <c r="T90" s="363"/>
      <c r="U90" s="363"/>
      <c r="V90" s="510">
        <f t="shared" si="35"/>
        <v>196.22022602847034</v>
      </c>
      <c r="W90" s="510">
        <f t="shared" si="36"/>
        <v>294.48442274225471</v>
      </c>
      <c r="X90" s="510">
        <f t="shared" si="37"/>
        <v>361.69452002391199</v>
      </c>
      <c r="Y90" s="363"/>
      <c r="Z90" s="363"/>
      <c r="AA90" s="363"/>
      <c r="AB90" s="567"/>
      <c r="AH90" s="638"/>
      <c r="AI90" s="638"/>
      <c r="AJ90" s="638"/>
    </row>
    <row r="91" spans="1:36" ht="15.75" customHeight="1" x14ac:dyDescent="0.25">
      <c r="A91" s="885"/>
      <c r="B91" s="758" t="s">
        <v>59</v>
      </c>
      <c r="C91" s="250">
        <v>77.7</v>
      </c>
      <c r="D91" s="250">
        <v>230.5</v>
      </c>
      <c r="E91" s="323">
        <f t="shared" si="32"/>
        <v>152.80000000000001</v>
      </c>
      <c r="F91" s="408" t="e">
        <f>IF(OR(#REF!="", E91=""),"",(E91-#REF!*L91)^J91*(K91+E91*N91))</f>
        <v>#REF!</v>
      </c>
      <c r="G91" s="537">
        <f t="shared" si="38"/>
        <v>540.17811918549285</v>
      </c>
      <c r="H91" s="167">
        <v>540</v>
      </c>
      <c r="I91" s="212">
        <f t="shared" si="33"/>
        <v>-3.298503435052714E-4</v>
      </c>
      <c r="J91" s="749">
        <v>0.50770000000000004</v>
      </c>
      <c r="K91" s="348">
        <v>42</v>
      </c>
      <c r="L91" s="349">
        <v>8.9999999999999993E-3</v>
      </c>
      <c r="M91" s="349">
        <v>0.5</v>
      </c>
      <c r="N91" s="569">
        <v>8.9999999999999998E-4</v>
      </c>
      <c r="O91" s="570">
        <v>10</v>
      </c>
      <c r="P91" s="336">
        <f t="shared" si="34"/>
        <v>10</v>
      </c>
      <c r="Q91" s="351">
        <f t="shared" si="34"/>
        <v>25</v>
      </c>
      <c r="R91" s="335">
        <f t="shared" si="34"/>
        <v>37.5</v>
      </c>
      <c r="S91" s="352"/>
      <c r="T91" s="352"/>
      <c r="U91" s="352"/>
      <c r="V91" s="512">
        <f t="shared" si="35"/>
        <v>135.22043961341475</v>
      </c>
      <c r="W91" s="512">
        <f t="shared" si="36"/>
        <v>213.40816455330273</v>
      </c>
      <c r="X91" s="512">
        <f t="shared" si="37"/>
        <v>262.25804163385158</v>
      </c>
      <c r="Y91" s="352"/>
      <c r="Z91" s="352"/>
      <c r="AA91" s="352"/>
      <c r="AB91" s="567"/>
      <c r="AH91" s="638"/>
      <c r="AI91" s="638"/>
      <c r="AJ91" s="638"/>
    </row>
    <row r="92" spans="1:36" ht="15.75" customHeight="1" x14ac:dyDescent="0.25">
      <c r="A92" s="885"/>
      <c r="B92" s="757" t="s">
        <v>60</v>
      </c>
      <c r="C92" s="250">
        <v>77.7</v>
      </c>
      <c r="D92" s="250">
        <v>230.5</v>
      </c>
      <c r="E92" s="358">
        <f t="shared" si="32"/>
        <v>152.80000000000001</v>
      </c>
      <c r="F92" s="408" t="e">
        <f>IF(OR(#REF!="", E92=""),"",(E92-#REF!*L92)^J92*(K92+E92*N92))</f>
        <v>#REF!</v>
      </c>
      <c r="G92" s="568">
        <f t="shared" si="38"/>
        <v>289.82824593298938</v>
      </c>
      <c r="H92" s="167">
        <v>289.7</v>
      </c>
      <c r="I92" s="212">
        <f t="shared" si="33"/>
        <v>-4.4268530545180118E-4</v>
      </c>
      <c r="J92" s="749">
        <v>0.52</v>
      </c>
      <c r="K92" s="348">
        <v>22</v>
      </c>
      <c r="L92" s="349">
        <v>0.11</v>
      </c>
      <c r="M92" s="349">
        <v>0.5</v>
      </c>
      <c r="N92" s="569">
        <v>-1E-3</v>
      </c>
      <c r="O92" s="570">
        <v>10</v>
      </c>
      <c r="P92" s="360">
        <f t="shared" si="34"/>
        <v>10</v>
      </c>
      <c r="Q92" s="361">
        <f t="shared" si="34"/>
        <v>25</v>
      </c>
      <c r="R92" s="362">
        <f t="shared" si="34"/>
        <v>37.5</v>
      </c>
      <c r="S92" s="363"/>
      <c r="T92" s="363"/>
      <c r="U92" s="363"/>
      <c r="V92" s="510">
        <f t="shared" si="35"/>
        <v>72.815733614021795</v>
      </c>
      <c r="W92" s="510">
        <f t="shared" si="36"/>
        <v>102.97857590452337</v>
      </c>
      <c r="X92" s="510">
        <f t="shared" si="37"/>
        <v>127.0770800432384</v>
      </c>
      <c r="Y92" s="363"/>
      <c r="Z92" s="363"/>
      <c r="AA92" s="363"/>
      <c r="AB92" s="567"/>
      <c r="AH92" s="638"/>
      <c r="AI92" s="638"/>
      <c r="AJ92" s="638"/>
    </row>
    <row r="93" spans="1:36" ht="15.75" customHeight="1" x14ac:dyDescent="0.25">
      <c r="A93" s="885"/>
      <c r="B93" s="759" t="s">
        <v>61</v>
      </c>
      <c r="C93" s="250">
        <v>77.7</v>
      </c>
      <c r="D93" s="250">
        <v>230.5</v>
      </c>
      <c r="E93" s="323">
        <f t="shared" si="32"/>
        <v>152.80000000000001</v>
      </c>
      <c r="F93" s="408" t="e">
        <f>IF(OR(#REF!="", E93=""),"",(E93-#REF!*L93)^J93*(K93+E93*N93))</f>
        <v>#REF!</v>
      </c>
      <c r="G93" s="568">
        <f t="shared" si="38"/>
        <v>171.43436229901923</v>
      </c>
      <c r="H93" s="167">
        <v>171.4</v>
      </c>
      <c r="I93" s="212">
        <f t="shared" si="33"/>
        <v>-2.0048015763839911E-4</v>
      </c>
      <c r="J93" s="749">
        <v>0.54100000000000004</v>
      </c>
      <c r="K93" s="751">
        <v>11.9239</v>
      </c>
      <c r="L93" s="349">
        <v>0.13</v>
      </c>
      <c r="M93" s="349">
        <v>0.4</v>
      </c>
      <c r="N93" s="569">
        <v>-1.4E-3</v>
      </c>
      <c r="O93" s="570">
        <v>10</v>
      </c>
      <c r="P93" s="336">
        <f t="shared" si="34"/>
        <v>10</v>
      </c>
      <c r="Q93" s="351">
        <f t="shared" si="34"/>
        <v>20</v>
      </c>
      <c r="R93" s="335">
        <f t="shared" si="34"/>
        <v>30</v>
      </c>
      <c r="S93" s="352"/>
      <c r="T93" s="352"/>
      <c r="U93" s="352"/>
      <c r="V93" s="512">
        <f t="shared" si="35"/>
        <v>41.39120929172438</v>
      </c>
      <c r="W93" s="512">
        <f t="shared" si="36"/>
        <v>48.630403550205621</v>
      </c>
      <c r="X93" s="512">
        <f t="shared" si="37"/>
        <v>60.486970434198767</v>
      </c>
      <c r="Y93" s="352"/>
      <c r="Z93" s="352"/>
      <c r="AA93" s="352"/>
      <c r="AB93" s="567"/>
      <c r="AH93" s="638"/>
      <c r="AI93" s="638"/>
      <c r="AJ93" s="638"/>
    </row>
    <row r="94" spans="1:36" ht="15.75" customHeight="1" x14ac:dyDescent="0.25">
      <c r="A94" s="885"/>
      <c r="B94" s="760" t="s">
        <v>62</v>
      </c>
      <c r="C94" s="250">
        <v>77.7</v>
      </c>
      <c r="D94" s="250">
        <v>230.5</v>
      </c>
      <c r="E94" s="358">
        <f t="shared" si="32"/>
        <v>152.80000000000001</v>
      </c>
      <c r="F94" s="408" t="e">
        <f>IF(OR(#REF!="", E94=""),"",(E94-#REF!*L94)^J94*(K94+E94*N94))</f>
        <v>#REF!</v>
      </c>
      <c r="G94" s="568">
        <f t="shared" si="38"/>
        <v>46.474958100145031</v>
      </c>
      <c r="H94" s="167">
        <v>46.46</v>
      </c>
      <c r="I94" s="212">
        <f t="shared" si="33"/>
        <v>-3.2195652486074198E-4</v>
      </c>
      <c r="J94" s="749">
        <v>0.48</v>
      </c>
      <c r="K94" s="752">
        <v>4.0994999999999999</v>
      </c>
      <c r="L94" s="349">
        <v>3.0000000000000001E-3</v>
      </c>
      <c r="M94" s="349">
        <v>1</v>
      </c>
      <c r="N94" s="569">
        <v>4.0000000000000002E-4</v>
      </c>
      <c r="O94" s="570">
        <v>10</v>
      </c>
      <c r="P94" s="360">
        <f t="shared" si="34"/>
        <v>10</v>
      </c>
      <c r="Q94" s="361">
        <f t="shared" si="34"/>
        <v>50</v>
      </c>
      <c r="R94" s="362">
        <f t="shared" si="34"/>
        <v>75</v>
      </c>
      <c r="S94" s="363"/>
      <c r="T94" s="363"/>
      <c r="U94" s="363"/>
      <c r="V94" s="510">
        <f t="shared" si="35"/>
        <v>12.392371884669673</v>
      </c>
      <c r="W94" s="510">
        <f t="shared" si="36"/>
        <v>26.898235106975161</v>
      </c>
      <c r="X94" s="510">
        <f t="shared" si="37"/>
        <v>32.756730893711762</v>
      </c>
      <c r="Y94" s="363"/>
      <c r="Z94" s="363"/>
      <c r="AA94" s="363"/>
      <c r="AB94" s="567"/>
      <c r="AH94" s="638"/>
      <c r="AI94" s="638"/>
      <c r="AJ94" s="638"/>
    </row>
    <row r="95" spans="1:36" ht="15.75" customHeight="1" x14ac:dyDescent="0.25">
      <c r="A95" s="885"/>
      <c r="B95" s="756" t="s">
        <v>63</v>
      </c>
      <c r="C95" s="250">
        <v>77.7</v>
      </c>
      <c r="D95" s="250">
        <v>230.5</v>
      </c>
      <c r="E95" s="323">
        <f t="shared" si="32"/>
        <v>152.80000000000001</v>
      </c>
      <c r="F95" s="408" t="e">
        <f>IF(OR(#REF!="", E95=""),"",(E95-#REF!*L95)^J95*(K95+E95*N95))</f>
        <v>#REF!</v>
      </c>
      <c r="G95" s="530">
        <f t="shared" si="38"/>
        <v>26.009731743228148</v>
      </c>
      <c r="H95" s="167">
        <v>26</v>
      </c>
      <c r="I95" s="212">
        <f t="shared" si="33"/>
        <v>-3.7429781646722494E-4</v>
      </c>
      <c r="J95" s="749">
        <v>0.502</v>
      </c>
      <c r="K95" s="752">
        <v>2.0678000000000001</v>
      </c>
      <c r="L95" s="349">
        <v>0</v>
      </c>
      <c r="M95" s="349">
        <v>0.5</v>
      </c>
      <c r="N95" s="569">
        <v>1E-4</v>
      </c>
      <c r="O95" s="570">
        <v>10</v>
      </c>
      <c r="P95" s="360">
        <f t="shared" si="34"/>
        <v>10</v>
      </c>
      <c r="Q95" s="361">
        <f t="shared" si="34"/>
        <v>25</v>
      </c>
      <c r="R95" s="362">
        <f t="shared" si="34"/>
        <v>37.5</v>
      </c>
      <c r="S95" s="363"/>
      <c r="T95" s="363"/>
      <c r="U95" s="363"/>
      <c r="V95" s="365">
        <f t="shared" si="35"/>
        <v>6.5723170773602462</v>
      </c>
      <c r="W95" s="510">
        <f t="shared" si="36"/>
        <v>10.418355354386694</v>
      </c>
      <c r="X95" s="510">
        <f t="shared" si="37"/>
        <v>12.777889157933513</v>
      </c>
      <c r="Y95" s="363"/>
      <c r="Z95" s="363"/>
      <c r="AA95" s="363"/>
      <c r="AB95" s="575"/>
      <c r="AC95" s="269"/>
      <c r="AD95" s="269"/>
      <c r="AE95" s="269"/>
      <c r="AF95" s="334"/>
      <c r="AH95" s="638"/>
      <c r="AI95" s="638"/>
      <c r="AJ95" s="638"/>
    </row>
    <row r="96" spans="1:36" ht="15.75" customHeight="1" thickBot="1" x14ac:dyDescent="0.3">
      <c r="A96" s="886"/>
      <c r="B96" s="761" t="s">
        <v>64</v>
      </c>
      <c r="C96" s="249">
        <v>77.7</v>
      </c>
      <c r="D96" s="249">
        <v>230.5</v>
      </c>
      <c r="E96" s="309">
        <f t="shared" si="32"/>
        <v>152.80000000000001</v>
      </c>
      <c r="F96" s="542" t="e">
        <f>IF(OR(#REF!="", E96=""),"",(E96-#REF!*L96)^J96*(K96+E96*N96))</f>
        <v>#REF!</v>
      </c>
      <c r="G96" s="543">
        <f>IF(E96="---","---", (E96-ABS(C96)*L96)^J96*(K96+E96*N96))</f>
        <v>13.651373889507498</v>
      </c>
      <c r="H96" s="173">
        <v>13.65</v>
      </c>
      <c r="I96" s="213">
        <f t="shared" si="33"/>
        <v>-1.0065124597054575E-4</v>
      </c>
      <c r="J96" s="750">
        <v>0.49249999999999999</v>
      </c>
      <c r="K96" s="753">
        <v>1.1614</v>
      </c>
      <c r="L96" s="313">
        <v>0.1</v>
      </c>
      <c r="M96" s="313">
        <v>0.5</v>
      </c>
      <c r="N96" s="576">
        <v>1E-4</v>
      </c>
      <c r="O96" s="577">
        <v>10</v>
      </c>
      <c r="P96" s="314">
        <f t="shared" si="34"/>
        <v>10</v>
      </c>
      <c r="Q96" s="315">
        <f t="shared" si="34"/>
        <v>25</v>
      </c>
      <c r="R96" s="315">
        <f t="shared" si="34"/>
        <v>37.5</v>
      </c>
      <c r="S96" s="321"/>
      <c r="T96" s="321"/>
      <c r="U96" s="321"/>
      <c r="V96" s="384">
        <f t="shared" si="35"/>
        <v>3.6128971733443667</v>
      </c>
      <c r="W96" s="384">
        <f t="shared" si="36"/>
        <v>5.0894744801957508</v>
      </c>
      <c r="X96" s="384">
        <f t="shared" si="37"/>
        <v>6.2210552366904741</v>
      </c>
      <c r="Y96" s="321"/>
      <c r="Z96" s="352"/>
      <c r="AA96" s="321"/>
      <c r="AB96" s="575"/>
      <c r="AC96" s="269"/>
      <c r="AD96" s="269"/>
      <c r="AE96" s="269"/>
      <c r="AF96" s="334"/>
      <c r="AH96" s="638"/>
      <c r="AI96" s="638"/>
      <c r="AJ96" s="638"/>
    </row>
    <row r="97" spans="1:36" ht="28.5" customHeight="1" thickBot="1" x14ac:dyDescent="0.3">
      <c r="A97" s="470"/>
      <c r="B97" s="459"/>
      <c r="C97" s="578"/>
      <c r="D97" s="579"/>
      <c r="E97" s="580"/>
      <c r="F97" s="581"/>
      <c r="G97" s="563"/>
      <c r="H97" s="676"/>
      <c r="I97" s="676"/>
      <c r="J97" s="582"/>
      <c r="K97" s="583"/>
      <c r="L97" s="584"/>
      <c r="M97" s="584"/>
      <c r="N97" s="584"/>
      <c r="O97" s="334"/>
      <c r="P97" s="334"/>
      <c r="Q97" s="334"/>
      <c r="R97" s="334"/>
      <c r="S97" s="585"/>
      <c r="T97" s="931" t="s">
        <v>74</v>
      </c>
      <c r="U97" s="932"/>
      <c r="V97" s="933"/>
      <c r="W97" s="909" t="s">
        <v>77</v>
      </c>
      <c r="X97" s="910"/>
      <c r="Y97" s="911"/>
      <c r="Z97" s="907" t="s">
        <v>75</v>
      </c>
      <c r="AA97" s="908"/>
      <c r="AB97" s="912"/>
      <c r="AC97" s="909" t="s">
        <v>76</v>
      </c>
      <c r="AD97" s="910"/>
      <c r="AE97" s="911"/>
      <c r="AF97" s="334"/>
      <c r="AH97" s="638"/>
      <c r="AI97" s="638"/>
      <c r="AJ97" s="638"/>
    </row>
    <row r="98" spans="1:36" ht="32.25" customHeight="1" thickBot="1" x14ac:dyDescent="0.35">
      <c r="A98" s="470"/>
      <c r="B98" s="459"/>
      <c r="C98" s="586"/>
      <c r="D98" s="587"/>
      <c r="E98" s="580"/>
      <c r="F98" s="581"/>
      <c r="G98" s="588"/>
      <c r="H98" s="164" t="s">
        <v>93</v>
      </c>
      <c r="I98" s="164" t="s">
        <v>46</v>
      </c>
      <c r="J98" s="517" t="s">
        <v>1</v>
      </c>
      <c r="K98" s="517" t="s">
        <v>0</v>
      </c>
      <c r="L98" s="517" t="s">
        <v>19</v>
      </c>
      <c r="M98" s="517" t="s">
        <v>20</v>
      </c>
      <c r="N98" s="517" t="s">
        <v>21</v>
      </c>
      <c r="O98" s="517" t="s">
        <v>22</v>
      </c>
      <c r="P98" s="517" t="s">
        <v>23</v>
      </c>
      <c r="Q98" s="517" t="s">
        <v>24</v>
      </c>
      <c r="R98" s="517" t="s">
        <v>25</v>
      </c>
      <c r="S98" s="518" t="s">
        <v>6</v>
      </c>
      <c r="T98" s="589">
        <v>0</v>
      </c>
      <c r="U98" s="589">
        <v>50</v>
      </c>
      <c r="V98" s="589">
        <v>75</v>
      </c>
      <c r="W98" s="590">
        <v>0</v>
      </c>
      <c r="X98" s="590">
        <v>50</v>
      </c>
      <c r="Y98" s="561">
        <v>75</v>
      </c>
      <c r="Z98" s="589">
        <v>0</v>
      </c>
      <c r="AA98" s="589">
        <v>50</v>
      </c>
      <c r="AB98" s="589">
        <v>75</v>
      </c>
      <c r="AC98" s="590">
        <v>0</v>
      </c>
      <c r="AD98" s="590">
        <v>50</v>
      </c>
      <c r="AE98" s="590">
        <v>75</v>
      </c>
      <c r="AH98" s="636" t="s">
        <v>82</v>
      </c>
      <c r="AI98" s="636" t="s">
        <v>83</v>
      </c>
      <c r="AJ98" s="636" t="s">
        <v>80</v>
      </c>
    </row>
    <row r="99" spans="1:36" ht="15.75" customHeight="1" x14ac:dyDescent="0.25">
      <c r="A99" s="884">
        <v>5000</v>
      </c>
      <c r="B99" s="521" t="s">
        <v>4</v>
      </c>
      <c r="C99" s="247">
        <v>53</v>
      </c>
      <c r="D99" s="247">
        <v>435.5</v>
      </c>
      <c r="E99" s="387">
        <f>IF(OR(C99="",D99="",D99&lt;0),"",        IF(AND(C99&lt;=0,D99&gt;=S99, D99&gt;=ABS(C99)*R99),D99,         IF(AND(C99&gt;0, (ABS(D99)-C99)&gt;=S99, (ABS(D99)-C99)&gt;=ABS(C99)*R99),(ABS(D99)-C99),"---")))</f>
        <v>382.5</v>
      </c>
      <c r="F99" s="440" t="e">
        <f>IF(OR(#REF!="", E99=""),"",E99^J99*K99)</f>
        <v>#REF!</v>
      </c>
      <c r="G99" s="563">
        <f>IF(E99="---","---", E99^J99*K99)</f>
        <v>10590.85483472373</v>
      </c>
      <c r="H99" s="170">
        <v>10592</v>
      </c>
      <c r="I99" s="211">
        <f>(H99-G99)/H99</f>
        <v>1.0811605704964462E-4</v>
      </c>
      <c r="J99" s="441">
        <v>0.498</v>
      </c>
      <c r="K99" s="564">
        <v>548</v>
      </c>
      <c r="L99" s="341"/>
      <c r="M99" s="341"/>
      <c r="N99" s="565"/>
      <c r="O99" s="591"/>
      <c r="P99" s="591"/>
      <c r="Q99" s="591"/>
      <c r="R99" s="527">
        <v>0.3</v>
      </c>
      <c r="S99" s="442">
        <v>10</v>
      </c>
      <c r="T99" s="443">
        <f>IF($R99*T$98&gt;$S99, $R99*T$98, $S99)</f>
        <v>10</v>
      </c>
      <c r="U99" s="444">
        <f>IF($R99*U$98&gt;$S99, $R99*U$98, $S99)</f>
        <v>15</v>
      </c>
      <c r="V99" s="444">
        <f>IF($R99*V$98&gt;$S99, $R99*V$98, $S99)</f>
        <v>22.5</v>
      </c>
      <c r="W99" s="446">
        <v>140</v>
      </c>
      <c r="X99" s="446">
        <v>110</v>
      </c>
      <c r="Y99" s="446">
        <f>W99*0.7</f>
        <v>98</v>
      </c>
      <c r="Z99" s="528">
        <f t="shared" ref="Z99:AE101" si="39">T99^$J99*$K99</f>
        <v>1724.9660761275211</v>
      </c>
      <c r="AA99" s="528">
        <f t="shared" si="39"/>
        <v>2110.9308431866061</v>
      </c>
      <c r="AB99" s="528">
        <f t="shared" si="39"/>
        <v>2583.2560340665477</v>
      </c>
      <c r="AC99" s="529">
        <f t="shared" si="39"/>
        <v>6420.2556284536058</v>
      </c>
      <c r="AD99" s="529">
        <f t="shared" si="39"/>
        <v>5693.6939060455761</v>
      </c>
      <c r="AE99" s="529">
        <f t="shared" si="39"/>
        <v>5375.4044212380686</v>
      </c>
      <c r="AH99" s="637">
        <f>IF('Flow charts'!$A$205=$T$98,AC99, IF('Flow charts'!$A$205=$U$98,AD99, IF('Flow charts'!$A$205=$V$98,AE99,"SELECT BP")))</f>
        <v>5693.6939060455761</v>
      </c>
      <c r="AI99" s="637">
        <f>IF('Flow charts'!$A$205=$T$98,Z99, IF('Flow charts'!$A$205=$U$98,AA99, IF('Flow charts'!$A$205=$V$98,AB99,"SELECT BP")))</f>
        <v>2110.9308431866061</v>
      </c>
      <c r="AJ99" s="637">
        <f>AH99-AI99</f>
        <v>3582.76306285897</v>
      </c>
    </row>
    <row r="100" spans="1:36" ht="17.25" customHeight="1" x14ac:dyDescent="0.25">
      <c r="A100" s="885"/>
      <c r="B100" s="592" t="s">
        <v>11</v>
      </c>
      <c r="C100" s="250">
        <v>-56.6</v>
      </c>
      <c r="D100" s="250">
        <v>165</v>
      </c>
      <c r="E100" s="430">
        <f t="shared" ref="E100:E117" si="40">IF(OR(C100="",D100="",D100&lt;0),"",        IF(AND(C100&lt;=0,D100&gt;=S100, D100&gt;=ABS(C100)*R100),D100,         IF(AND(C100&gt;0, (ABS(D100)-C100)&gt;=S100, (ABS(D100)-C100)&gt;=ABS(C100)*R100),(ABS(D100)-C100),"---")))</f>
        <v>165</v>
      </c>
      <c r="F100" s="408" t="e">
        <f>IF(OR(#REF!="", E100=""),"",E100^J100*K100)</f>
        <v>#REF!</v>
      </c>
      <c r="G100" s="568">
        <f>IF(E100="---","---", E100^J100*K100)</f>
        <v>3724.4216002542839</v>
      </c>
      <c r="H100" s="167">
        <v>3724</v>
      </c>
      <c r="I100" s="212">
        <f t="shared" ref="I100:I107" si="41">(H100-G100)/H100</f>
        <v>-1.1321166871211884E-4</v>
      </c>
      <c r="J100" s="369">
        <v>0.502</v>
      </c>
      <c r="K100" s="593">
        <v>287</v>
      </c>
      <c r="L100" s="301"/>
      <c r="M100" s="301"/>
      <c r="N100" s="428"/>
      <c r="O100" s="594"/>
      <c r="P100" s="594"/>
      <c r="Q100" s="594"/>
      <c r="R100" s="534">
        <v>0.4</v>
      </c>
      <c r="S100" s="350">
        <v>20</v>
      </c>
      <c r="T100" s="360">
        <f t="shared" ref="T100:V107" si="42">IF($R100*T$98&gt;$S100, $R100*T$98, $S100)</f>
        <v>20</v>
      </c>
      <c r="U100" s="361">
        <f t="shared" si="42"/>
        <v>20</v>
      </c>
      <c r="V100" s="361">
        <f t="shared" si="42"/>
        <v>30</v>
      </c>
      <c r="W100" s="363">
        <v>236</v>
      </c>
      <c r="X100" s="595">
        <v>218.25</v>
      </c>
      <c r="Y100" s="363">
        <f>W100*0.7</f>
        <v>165.2</v>
      </c>
      <c r="Z100" s="535">
        <f t="shared" si="39"/>
        <v>1291.2161653674448</v>
      </c>
      <c r="AA100" s="535">
        <f t="shared" si="39"/>
        <v>1291.2161653674448</v>
      </c>
      <c r="AB100" s="535">
        <f t="shared" si="39"/>
        <v>1582.6933099646403</v>
      </c>
      <c r="AC100" s="536">
        <f t="shared" si="39"/>
        <v>4457.4216919750024</v>
      </c>
      <c r="AD100" s="536">
        <f t="shared" si="39"/>
        <v>4285.8496475087759</v>
      </c>
      <c r="AE100" s="536">
        <f t="shared" si="39"/>
        <v>3726.6871707843916</v>
      </c>
      <c r="AH100" s="637">
        <f>IF('Flow charts'!$A$205=$T$98,AC100, IF('Flow charts'!$A$205=$U$98,AD100, IF('Flow charts'!$A$205=$V$98,AE100,"SELECT BP")))</f>
        <v>4285.8496475087759</v>
      </c>
      <c r="AI100" s="637">
        <f>IF('Flow charts'!$A$205=$T$98,Z100, IF('Flow charts'!$A$205=$U$98,AA100, IF('Flow charts'!$A$205=$V$98,AB100,"SELECT BP")))</f>
        <v>1291.2161653674448</v>
      </c>
      <c r="AJ100" s="637">
        <f t="shared" ref="AJ100:AJ107" si="43">AH100-AI100</f>
        <v>2994.6334821413311</v>
      </c>
    </row>
    <row r="101" spans="1:36" ht="17.25" customHeight="1" x14ac:dyDescent="0.25">
      <c r="A101" s="885"/>
      <c r="B101" s="572" t="s">
        <v>12</v>
      </c>
      <c r="C101" s="250">
        <v>53</v>
      </c>
      <c r="D101" s="250">
        <v>435.5</v>
      </c>
      <c r="E101" s="430">
        <f t="shared" si="40"/>
        <v>382.5</v>
      </c>
      <c r="F101" s="408" t="e">
        <f>IF(OR(#REF!="", E101=""),"",E101^J101*K101)</f>
        <v>#REF!</v>
      </c>
      <c r="G101" s="568">
        <f>IF(E101="---","---", E101^J101*K101)</f>
        <v>2809.695060733161</v>
      </c>
      <c r="H101" s="167">
        <v>2810</v>
      </c>
      <c r="I101" s="212">
        <f t="shared" si="41"/>
        <v>1.0851931204235881E-4</v>
      </c>
      <c r="J101" s="369">
        <v>0.54</v>
      </c>
      <c r="K101" s="596">
        <v>113.25</v>
      </c>
      <c r="L101" s="301"/>
      <c r="M101" s="301"/>
      <c r="N101" s="428"/>
      <c r="O101" s="594"/>
      <c r="P101" s="594"/>
      <c r="Q101" s="594"/>
      <c r="R101" s="534">
        <v>0.7</v>
      </c>
      <c r="S101" s="350">
        <v>40</v>
      </c>
      <c r="T101" s="336">
        <f t="shared" si="42"/>
        <v>40</v>
      </c>
      <c r="U101" s="351">
        <f>IF($R101*U$98&gt;$S101, $R101*U$98, $S101)</f>
        <v>40</v>
      </c>
      <c r="V101" s="351">
        <f>IF($R101*V$98&gt;$S101, $R101*V$98, $S101)</f>
        <v>52.5</v>
      </c>
      <c r="W101" s="352">
        <v>372</v>
      </c>
      <c r="X101" s="352">
        <v>307.5</v>
      </c>
      <c r="Y101" s="352">
        <f>W101*0.7</f>
        <v>260.39999999999998</v>
      </c>
      <c r="Z101" s="597">
        <f t="shared" si="39"/>
        <v>830.13859566929511</v>
      </c>
      <c r="AA101" s="597">
        <f t="shared" si="39"/>
        <v>830.13859566929511</v>
      </c>
      <c r="AB101" s="597">
        <f t="shared" si="39"/>
        <v>961.44453354661653</v>
      </c>
      <c r="AC101" s="598">
        <f t="shared" si="39"/>
        <v>2767.7789257156091</v>
      </c>
      <c r="AD101" s="598">
        <f t="shared" si="39"/>
        <v>2497.322186711719</v>
      </c>
      <c r="AE101" s="598">
        <f t="shared" si="39"/>
        <v>2282.8866048682298</v>
      </c>
      <c r="AH101" s="637">
        <f>IF('Flow charts'!$A$205=$T$98,AC101, IF('Flow charts'!$A$205=$U$98,AD101, IF('Flow charts'!$A$205=$V$98,AE101,"SELECT BP")))</f>
        <v>2497.322186711719</v>
      </c>
      <c r="AI101" s="637">
        <f>IF('Flow charts'!$A$205=$T$98,Z101, IF('Flow charts'!$A$205=$U$98,AA101, IF('Flow charts'!$A$205=$V$98,AB101,"SELECT BP")))</f>
        <v>830.13859566929511</v>
      </c>
      <c r="AJ101" s="637">
        <f t="shared" si="43"/>
        <v>1667.1835910424238</v>
      </c>
    </row>
    <row r="102" spans="1:36" ht="17.25" customHeight="1" x14ac:dyDescent="0.25">
      <c r="A102" s="885"/>
      <c r="B102" s="357" t="s">
        <v>13</v>
      </c>
      <c r="C102" s="250">
        <v>53</v>
      </c>
      <c r="D102" s="250">
        <v>435.5</v>
      </c>
      <c r="E102" s="430">
        <f t="shared" si="40"/>
        <v>382.5</v>
      </c>
      <c r="F102" s="408" t="e">
        <f>IF(OR(#REF!="", E102=""),"",E102^3*N102+E102^2*O102+E102*P102+Q102+(L102-#REF!)*M102)</f>
        <v>#REF!</v>
      </c>
      <c r="G102" s="568">
        <f t="shared" ref="G102:G107" si="44">IF(E102="---","---", E102^3*N102+E102^2*O102+E102*P102+Q102+(L102-ABS(C102))*M102)</f>
        <v>1265.2089648067051</v>
      </c>
      <c r="H102" s="167">
        <v>1265</v>
      </c>
      <c r="I102" s="212">
        <f t="shared" si="41"/>
        <v>-1.6518957051788597E-4</v>
      </c>
      <c r="J102" s="496"/>
      <c r="K102" s="359"/>
      <c r="L102" s="301">
        <v>29</v>
      </c>
      <c r="M102" s="596">
        <v>-0.19</v>
      </c>
      <c r="N102" s="599">
        <v>7.942601191494451E-6</v>
      </c>
      <c r="O102" s="600">
        <v>-8.6400000000000001E-3</v>
      </c>
      <c r="P102" s="601">
        <v>4.9000000000000004</v>
      </c>
      <c r="Q102" s="594">
        <v>206</v>
      </c>
      <c r="R102" s="534">
        <v>0.8</v>
      </c>
      <c r="S102" s="656">
        <v>40</v>
      </c>
      <c r="T102" s="360">
        <f t="shared" si="42"/>
        <v>40</v>
      </c>
      <c r="U102" s="361">
        <f t="shared" si="42"/>
        <v>40</v>
      </c>
      <c r="V102" s="361">
        <f t="shared" si="42"/>
        <v>60</v>
      </c>
      <c r="W102" s="602">
        <v>357</v>
      </c>
      <c r="X102" s="602">
        <v>315</v>
      </c>
      <c r="Y102" s="602">
        <v>300</v>
      </c>
      <c r="Z102" s="603">
        <f t="shared" ref="Z102:AD107" si="45">T102^3*$N102+T102^2*$O102+T102*$P102+$Q102+($L102-ABS(Z$98))*$M102</f>
        <v>383.17432647625566</v>
      </c>
      <c r="AA102" s="603">
        <f t="shared" si="45"/>
        <v>392.67432647625566</v>
      </c>
      <c r="AB102" s="603">
        <f t="shared" si="45"/>
        <v>479.35160185736282</v>
      </c>
      <c r="AC102" s="604">
        <f t="shared" si="45"/>
        <v>1210.0133787939551</v>
      </c>
      <c r="AD102" s="604">
        <f t="shared" si="45"/>
        <v>1144.4389500162017</v>
      </c>
      <c r="AE102" s="604">
        <f t="shared" ref="AE102:AE107" si="46">Y102^3*$N102+Y102^2*$O102+Y102*$P102+$Q102+($L102-ABS(Y$98))*$M102</f>
        <v>1121.5902321703502</v>
      </c>
      <c r="AH102" s="637">
        <f>IF('Flow charts'!$A$205=$T$98,AC102, IF('Flow charts'!$A$205=$U$98,AD102, IF('Flow charts'!$A$205=$V$98,AE102,"SELECT BP")))</f>
        <v>1144.4389500162017</v>
      </c>
      <c r="AI102" s="637">
        <f>IF('Flow charts'!$A$205=$T$98,Z102, IF('Flow charts'!$A$205=$U$98,AA102, IF('Flow charts'!$A$205=$V$98,AB102,"SELECT BP")))</f>
        <v>392.67432647625566</v>
      </c>
      <c r="AJ102" s="637">
        <f t="shared" si="43"/>
        <v>751.76462353994611</v>
      </c>
    </row>
    <row r="103" spans="1:36" ht="17.25" customHeight="1" x14ac:dyDescent="0.25">
      <c r="A103" s="885"/>
      <c r="B103" s="573" t="s">
        <v>14</v>
      </c>
      <c r="C103" s="250">
        <v>53</v>
      </c>
      <c r="D103" s="250">
        <v>435.5</v>
      </c>
      <c r="E103" s="358">
        <f t="shared" si="40"/>
        <v>382.5</v>
      </c>
      <c r="F103" s="408" t="e">
        <f>IF(OR(#REF!="", E103=""),"",E103^3*N103+E103^2*O103+E103*P103+Q103+(L103-#REF!)*M103)</f>
        <v>#REF!</v>
      </c>
      <c r="G103" s="568">
        <f t="shared" si="44"/>
        <v>535.03355875000011</v>
      </c>
      <c r="H103" s="167">
        <v>535.1</v>
      </c>
      <c r="I103" s="212">
        <f t="shared" si="41"/>
        <v>1.2416604372997875E-4</v>
      </c>
      <c r="J103" s="496"/>
      <c r="K103" s="376"/>
      <c r="L103" s="301">
        <v>30</v>
      </c>
      <c r="M103" s="596">
        <v>0.1</v>
      </c>
      <c r="N103" s="599">
        <v>8.8000000000000004E-7</v>
      </c>
      <c r="O103" s="600">
        <v>-2.8999999999999998E-3</v>
      </c>
      <c r="P103" s="601">
        <v>2.15</v>
      </c>
      <c r="Q103" s="594">
        <v>90</v>
      </c>
      <c r="R103" s="534">
        <v>1</v>
      </c>
      <c r="S103" s="656">
        <v>50</v>
      </c>
      <c r="T103" s="336">
        <f t="shared" si="42"/>
        <v>50</v>
      </c>
      <c r="U103" s="351">
        <f t="shared" si="42"/>
        <v>50</v>
      </c>
      <c r="V103" s="351">
        <f t="shared" si="42"/>
        <v>75</v>
      </c>
      <c r="W103" s="605">
        <v>386</v>
      </c>
      <c r="X103" s="605">
        <v>322.5</v>
      </c>
      <c r="Y103" s="605">
        <v>300</v>
      </c>
      <c r="Z103" s="606">
        <f t="shared" si="45"/>
        <v>193.36</v>
      </c>
      <c r="AA103" s="606">
        <f t="shared" si="45"/>
        <v>188.36</v>
      </c>
      <c r="AB103" s="606">
        <f t="shared" si="45"/>
        <v>230.80875</v>
      </c>
      <c r="AC103" s="607">
        <f t="shared" si="45"/>
        <v>541.42256128000008</v>
      </c>
      <c r="AD103" s="607">
        <f t="shared" si="45"/>
        <v>509.27384875000001</v>
      </c>
      <c r="AE103" s="607">
        <f t="shared" si="46"/>
        <v>493.26</v>
      </c>
      <c r="AH103" s="637">
        <f>IF('Flow charts'!$A$205=$T$98,AC103, IF('Flow charts'!$A$205=$U$98,AD103, IF('Flow charts'!$A$205=$V$98,AE103,"SELECT BP")))</f>
        <v>509.27384875000001</v>
      </c>
      <c r="AI103" s="637">
        <f>IF('Flow charts'!$A$205=$T$98,Z103, IF('Flow charts'!$A$205=$U$98,AA103, IF('Flow charts'!$A$205=$V$98,AB103,"SELECT BP")))</f>
        <v>188.36</v>
      </c>
      <c r="AJ103" s="637">
        <f t="shared" si="43"/>
        <v>320.91384875</v>
      </c>
    </row>
    <row r="104" spans="1:36" ht="17.25" customHeight="1" x14ac:dyDescent="0.25">
      <c r="A104" s="885"/>
      <c r="B104" s="592" t="s">
        <v>15</v>
      </c>
      <c r="C104" s="250">
        <v>53</v>
      </c>
      <c r="D104" s="250">
        <v>435.5</v>
      </c>
      <c r="E104" s="323">
        <f>IF(OR(C104="",D104="",D104&lt;0),"",        IF(AND(C104&lt;=0,D104&gt;=S104, D104&gt;=ABS(C104)*R104),D104,         IF(AND(C104&gt;0, (ABS(D104)-C104)&gt;=S104, (ABS(D104)-C104)&gt;=ABS(C104)*R104),(ABS(D104)-C104),"---")))</f>
        <v>382.5</v>
      </c>
      <c r="F104" s="408" t="e">
        <f>IF(OR(#REF!="", E104=""),"",E104^3*N104+E104^2*O104+E104*P104+Q104+(L104-#REF!)*M104)</f>
        <v>#REF!</v>
      </c>
      <c r="G104" s="530">
        <f>IF(E104="---","---", E104^3*N104+E104^2*O104+E104*P104+Q104+(L104-ABS(C104))*M104)</f>
        <v>284.85907031250002</v>
      </c>
      <c r="H104" s="167">
        <v>284.89999999999998</v>
      </c>
      <c r="I104" s="212">
        <f t="shared" si="41"/>
        <v>1.4366334678818558E-4</v>
      </c>
      <c r="J104" s="496"/>
      <c r="K104" s="376"/>
      <c r="L104" s="301">
        <v>30</v>
      </c>
      <c r="M104" s="596">
        <v>0</v>
      </c>
      <c r="N104" s="599">
        <v>4.9999999999999998E-7</v>
      </c>
      <c r="O104" s="594">
        <v>-1.2800000000000001E-3</v>
      </c>
      <c r="P104" s="533">
        <v>1.02</v>
      </c>
      <c r="Q104" s="594">
        <v>54</v>
      </c>
      <c r="R104" s="534">
        <v>1</v>
      </c>
      <c r="S104" s="656">
        <v>60</v>
      </c>
      <c r="T104" s="360">
        <f t="shared" si="42"/>
        <v>60</v>
      </c>
      <c r="U104" s="361">
        <f t="shared" si="42"/>
        <v>60</v>
      </c>
      <c r="V104" s="361">
        <f t="shared" si="42"/>
        <v>75</v>
      </c>
      <c r="W104" s="602">
        <v>379</v>
      </c>
      <c r="X104" s="608">
        <v>333.75</v>
      </c>
      <c r="Y104" s="602">
        <v>300</v>
      </c>
      <c r="Z104" s="609">
        <f t="shared" si="45"/>
        <v>110.7</v>
      </c>
      <c r="AA104" s="603">
        <f t="shared" si="45"/>
        <v>110.7</v>
      </c>
      <c r="AB104" s="603">
        <f t="shared" si="45"/>
        <v>123.5109375</v>
      </c>
      <c r="AC104" s="608">
        <f t="shared" si="45"/>
        <v>283.93948949999992</v>
      </c>
      <c r="AD104" s="608">
        <f t="shared" si="45"/>
        <v>270.43504980468754</v>
      </c>
      <c r="AE104" s="608">
        <f t="shared" si="46"/>
        <v>258.3</v>
      </c>
      <c r="AH104" s="637">
        <f>IF('Flow charts'!$A$205=$T$98,AC104, IF('Flow charts'!$A$205=$U$98,AD104, IF('Flow charts'!$A$205=$V$98,AE104,"SELECT BP")))</f>
        <v>270.43504980468754</v>
      </c>
      <c r="AI104" s="637">
        <f>IF('Flow charts'!$A$205=$T$98,Z104, IF('Flow charts'!$A$205=$U$98,AA104, IF('Flow charts'!$A$205=$V$98,AB104,"SELECT BP")))</f>
        <v>110.7</v>
      </c>
      <c r="AJ104" s="637">
        <f t="shared" si="43"/>
        <v>159.73504980468755</v>
      </c>
    </row>
    <row r="105" spans="1:36" ht="17.25" customHeight="1" x14ac:dyDescent="0.25">
      <c r="A105" s="885"/>
      <c r="B105" s="357" t="s">
        <v>16</v>
      </c>
      <c r="C105" s="250">
        <v>53</v>
      </c>
      <c r="D105" s="250">
        <v>435.5</v>
      </c>
      <c r="E105" s="358">
        <f t="shared" si="40"/>
        <v>382.5</v>
      </c>
      <c r="F105" s="408" t="e">
        <f>IF(OR(#REF!="", E105=""),"",E105^3*N105+E105^2*O105+E105*P105+Q105+(L105-#REF!)*M105)</f>
        <v>#REF!</v>
      </c>
      <c r="G105" s="537">
        <f t="shared" si="44"/>
        <v>145.15529581249999</v>
      </c>
      <c r="H105" s="167">
        <v>145.1</v>
      </c>
      <c r="I105" s="212">
        <f t="shared" si="41"/>
        <v>-3.8108761199167354E-4</v>
      </c>
      <c r="J105" s="496"/>
      <c r="K105" s="460"/>
      <c r="L105" s="301">
        <v>25</v>
      </c>
      <c r="M105" s="596">
        <v>0.14499999999999999</v>
      </c>
      <c r="N105" s="599">
        <v>7.9599999999999998E-7</v>
      </c>
      <c r="O105" s="600">
        <v>-9.5009999999999995E-4</v>
      </c>
      <c r="P105" s="533">
        <v>0.59</v>
      </c>
      <c r="Q105" s="594">
        <v>18</v>
      </c>
      <c r="R105" s="534">
        <v>0.8</v>
      </c>
      <c r="S105" s="350">
        <v>35</v>
      </c>
      <c r="T105" s="336">
        <f t="shared" si="42"/>
        <v>35</v>
      </c>
      <c r="U105" s="351">
        <f t="shared" si="42"/>
        <v>40</v>
      </c>
      <c r="V105" s="351">
        <f t="shared" si="42"/>
        <v>60</v>
      </c>
      <c r="W105" s="352">
        <v>379</v>
      </c>
      <c r="X105" s="607">
        <v>333.75</v>
      </c>
      <c r="Y105" s="605">
        <v>300</v>
      </c>
      <c r="Z105" s="610">
        <f t="shared" si="45"/>
        <v>41.145256000000003</v>
      </c>
      <c r="AA105" s="610">
        <f t="shared" si="45"/>
        <v>36.505783999999998</v>
      </c>
      <c r="AB105" s="610">
        <f t="shared" si="45"/>
        <v>42.901575999999999</v>
      </c>
      <c r="AC105" s="607">
        <f t="shared" si="45"/>
        <v>152.095877344</v>
      </c>
      <c r="AD105" s="607">
        <f t="shared" si="45"/>
        <v>135.04892700781249</v>
      </c>
      <c r="AE105" s="607">
        <f t="shared" si="46"/>
        <v>123.733</v>
      </c>
      <c r="AH105" s="637">
        <f>IF('Flow charts'!$A$205=$T$98,AC105, IF('Flow charts'!$A$205=$U$98,AD105, IF('Flow charts'!$A$205=$V$98,AE105,"SELECT BP")))</f>
        <v>135.04892700781249</v>
      </c>
      <c r="AI105" s="637">
        <f>IF('Flow charts'!$A$205=$T$98,Z105, IF('Flow charts'!$A$205=$U$98,AA105, IF('Flow charts'!$A$205=$V$98,AB105,"SELECT BP")))</f>
        <v>36.505783999999998</v>
      </c>
      <c r="AJ105" s="637">
        <f t="shared" si="43"/>
        <v>98.543143007812489</v>
      </c>
    </row>
    <row r="106" spans="1:36" ht="17.25" customHeight="1" x14ac:dyDescent="0.25">
      <c r="A106" s="885"/>
      <c r="B106" s="357" t="s">
        <v>17</v>
      </c>
      <c r="C106" s="250">
        <v>53</v>
      </c>
      <c r="D106" s="250">
        <v>435.5</v>
      </c>
      <c r="E106" s="358">
        <f t="shared" si="40"/>
        <v>382.5</v>
      </c>
      <c r="F106" s="408" t="e">
        <f>IF(OR(#REF!="", E106=""),"",E106^3*N106+E106^2*O106+E106*P106+Q106+(L106-#REF!)*M106)</f>
        <v>#REF!</v>
      </c>
      <c r="G106" s="568">
        <f t="shared" si="44"/>
        <v>65.192998583812752</v>
      </c>
      <c r="H106" s="167">
        <v>65.19</v>
      </c>
      <c r="I106" s="212">
        <f t="shared" si="41"/>
        <v>-4.5997604122632589E-5</v>
      </c>
      <c r="J106" s="496"/>
      <c r="K106" s="460"/>
      <c r="L106" s="301">
        <v>25</v>
      </c>
      <c r="M106" s="596">
        <v>0.09</v>
      </c>
      <c r="N106" s="599">
        <v>2.6904318197461721E-7</v>
      </c>
      <c r="O106" s="611">
        <v>-3.5905495356519798E-4</v>
      </c>
      <c r="P106" s="533">
        <v>0.24349999999999999</v>
      </c>
      <c r="Q106" s="594">
        <v>12.05</v>
      </c>
      <c r="R106" s="534">
        <v>1</v>
      </c>
      <c r="S106" s="350">
        <v>50</v>
      </c>
      <c r="T106" s="360">
        <f t="shared" si="42"/>
        <v>50</v>
      </c>
      <c r="U106" s="361">
        <f t="shared" si="42"/>
        <v>50</v>
      </c>
      <c r="V106" s="361">
        <f t="shared" si="42"/>
        <v>75</v>
      </c>
      <c r="W106" s="363">
        <v>379</v>
      </c>
      <c r="X106" s="608">
        <v>333.75</v>
      </c>
      <c r="Y106" s="602">
        <v>300</v>
      </c>
      <c r="Z106" s="609">
        <f t="shared" si="45"/>
        <v>25.610993013833834</v>
      </c>
      <c r="AA106" s="609">
        <f t="shared" si="45"/>
        <v>21.110993013833834</v>
      </c>
      <c r="AB106" s="609">
        <f t="shared" si="45"/>
        <v>23.906318478591302</v>
      </c>
      <c r="AC106" s="612">
        <f t="shared" si="45"/>
        <v>69.658181830005461</v>
      </c>
      <c r="AD106" s="612">
        <f t="shared" si="45"/>
        <v>61.075306468703133</v>
      </c>
      <c r="AE106" s="612">
        <f t="shared" si="46"/>
        <v>55.549220092446845</v>
      </c>
      <c r="AH106" s="637">
        <f>IF('Flow charts'!$A$205=$T$98,AC106, IF('Flow charts'!$A$205=$U$98,AD106, IF('Flow charts'!$A$205=$V$98,AE106,"SELECT BP")))</f>
        <v>61.075306468703133</v>
      </c>
      <c r="AI106" s="637">
        <f>IF('Flow charts'!$A$205=$T$98,Z106, IF('Flow charts'!$A$205=$U$98,AA106, IF('Flow charts'!$A$205=$V$98,AB106,"SELECT BP")))</f>
        <v>21.110993013833834</v>
      </c>
      <c r="AJ106" s="637">
        <f t="shared" si="43"/>
        <v>39.964313454869298</v>
      </c>
    </row>
    <row r="107" spans="1:36" ht="18" customHeight="1" thickBot="1" x14ac:dyDescent="0.3">
      <c r="A107" s="886"/>
      <c r="B107" s="377" t="s">
        <v>18</v>
      </c>
      <c r="C107" s="249">
        <v>53</v>
      </c>
      <c r="D107" s="249">
        <v>435.5</v>
      </c>
      <c r="E107" s="309">
        <f t="shared" si="40"/>
        <v>382.5</v>
      </c>
      <c r="F107" s="542" t="e">
        <f>IF(OR(#REF!="", E107=""),"",E107^3*N107+E107^2*O107+E107*P107+Q107+(L107-#REF!)*M107)</f>
        <v>#REF!</v>
      </c>
      <c r="G107" s="588">
        <f t="shared" si="44"/>
        <v>24.562166359375002</v>
      </c>
      <c r="H107" s="173">
        <v>24.57</v>
      </c>
      <c r="I107" s="213">
        <f t="shared" si="41"/>
        <v>3.1882949226691654E-4</v>
      </c>
      <c r="J107" s="380"/>
      <c r="K107" s="504"/>
      <c r="L107" s="381">
        <v>25</v>
      </c>
      <c r="M107" s="546">
        <v>-0.02</v>
      </c>
      <c r="N107" s="547">
        <v>1.11E-7</v>
      </c>
      <c r="O107" s="613">
        <v>-1.4899999999999999E-4</v>
      </c>
      <c r="P107" s="614">
        <v>9.1999999999999998E-2</v>
      </c>
      <c r="Q107" s="550">
        <v>4.4000000000000004</v>
      </c>
      <c r="R107" s="551">
        <v>0.6</v>
      </c>
      <c r="S107" s="382">
        <v>50</v>
      </c>
      <c r="T107" s="314">
        <f t="shared" si="42"/>
        <v>50</v>
      </c>
      <c r="U107" s="315">
        <f t="shared" si="42"/>
        <v>50</v>
      </c>
      <c r="V107" s="315">
        <f t="shared" si="42"/>
        <v>50</v>
      </c>
      <c r="W107" s="321">
        <v>379</v>
      </c>
      <c r="X107" s="615">
        <v>333.75</v>
      </c>
      <c r="Y107" s="552">
        <v>300</v>
      </c>
      <c r="Z107" s="616">
        <f t="shared" si="45"/>
        <v>8.141375</v>
      </c>
      <c r="AA107" s="616">
        <f t="shared" si="45"/>
        <v>9.141375</v>
      </c>
      <c r="AB107" s="616">
        <f t="shared" si="45"/>
        <v>9.641375</v>
      </c>
      <c r="AC107" s="617">
        <f t="shared" si="45"/>
        <v>23.408324229000002</v>
      </c>
      <c r="AD107" s="617">
        <f t="shared" si="45"/>
        <v>23.134576744140624</v>
      </c>
      <c r="AE107" s="617">
        <f t="shared" si="46"/>
        <v>22.586999999999996</v>
      </c>
      <c r="AH107" s="637">
        <f>IF('Flow charts'!$A$205=$T$98,AC107, IF('Flow charts'!$A$205=$U$98,AD107, IF('Flow charts'!$A$205=$V$98,AE107,"SELECT BP")))</f>
        <v>23.134576744140624</v>
      </c>
      <c r="AI107" s="639">
        <f>IF('Flow charts'!$A$205=$T$98,Z107, IF('Flow charts'!$A$205=$U$98,AA107, IF('Flow charts'!$A$205=$V$98,AB107,"SELECT BP")))</f>
        <v>9.141375</v>
      </c>
      <c r="AJ107" s="637">
        <f t="shared" si="43"/>
        <v>13.993201744140624</v>
      </c>
    </row>
    <row r="108" spans="1:36" ht="14.25" customHeight="1" thickBot="1" x14ac:dyDescent="0.3">
      <c r="A108" s="470"/>
      <c r="B108" s="459"/>
      <c r="C108" s="618"/>
      <c r="D108" s="619"/>
      <c r="E108" s="323" t="str">
        <f t="shared" si="40"/>
        <v/>
      </c>
      <c r="F108" s="408" t="e">
        <f>IF(OR(#REF!="", E108=""),"",E108^3*N108+E108^2*O108+E108*P108+Q108+(L108-#REF!)*M108)</f>
        <v>#REF!</v>
      </c>
      <c r="G108" s="620"/>
      <c r="H108" s="677"/>
      <c r="I108" s="677"/>
      <c r="J108" s="621"/>
      <c r="K108" s="622"/>
      <c r="L108" s="584"/>
      <c r="M108" s="584"/>
      <c r="N108" s="584"/>
      <c r="O108" s="334"/>
      <c r="P108" s="334"/>
      <c r="Q108" s="334"/>
      <c r="R108" s="334"/>
      <c r="S108" s="623"/>
      <c r="AH108" s="639"/>
      <c r="AI108" s="639"/>
      <c r="AJ108" s="639"/>
    </row>
    <row r="109" spans="1:36" x14ac:dyDescent="0.25">
      <c r="A109" s="884">
        <v>6000</v>
      </c>
      <c r="B109" s="521" t="s">
        <v>4</v>
      </c>
      <c r="C109" s="247">
        <v>53</v>
      </c>
      <c r="D109" s="247">
        <v>435.5</v>
      </c>
      <c r="E109" s="286">
        <f t="shared" si="40"/>
        <v>382.5</v>
      </c>
      <c r="F109" s="440" t="e">
        <f>IF(OR(#REF!="", E109=""),"",E109^J109*K109)</f>
        <v>#REF!</v>
      </c>
      <c r="G109" s="522">
        <f>IF(E109="---","---", E109^J109*K109)</f>
        <v>10590.85483472373</v>
      </c>
      <c r="H109" s="170">
        <v>10592</v>
      </c>
      <c r="I109" s="211">
        <f>(H109-G109)/H109</f>
        <v>1.0811605704964462E-4</v>
      </c>
      <c r="J109" s="441">
        <v>0.498</v>
      </c>
      <c r="K109" s="564">
        <v>548</v>
      </c>
      <c r="L109" s="341"/>
      <c r="M109" s="341"/>
      <c r="N109" s="565"/>
      <c r="O109" s="591"/>
      <c r="P109" s="591"/>
      <c r="Q109" s="591"/>
      <c r="R109" s="527">
        <v>0.5</v>
      </c>
      <c r="S109" s="442">
        <v>25</v>
      </c>
      <c r="T109" s="443">
        <f>IF($R109*T$98&gt;$S109, $R109*T$98, $S109)</f>
        <v>25</v>
      </c>
      <c r="U109" s="444">
        <f>IF($R109*U$98&gt;$S109, $R109*U$98, $S109)</f>
        <v>25</v>
      </c>
      <c r="V109" s="444">
        <f>IF($R109*V$98&gt;$S109, $R109*V$98, $S109)</f>
        <v>37.5</v>
      </c>
      <c r="W109" s="446">
        <v>225</v>
      </c>
      <c r="X109" s="446">
        <v>204</v>
      </c>
      <c r="Y109" s="446">
        <v>188</v>
      </c>
      <c r="Z109" s="528">
        <f t="shared" ref="Z109:AE111" si="47">T109^$J109*$K109</f>
        <v>2722.4172179976167</v>
      </c>
      <c r="AA109" s="528">
        <f t="shared" si="47"/>
        <v>2722.4172179976167</v>
      </c>
      <c r="AB109" s="528">
        <f t="shared" si="47"/>
        <v>3331.5637640798445</v>
      </c>
      <c r="AC109" s="529">
        <f t="shared" si="47"/>
        <v>8131.4398261250271</v>
      </c>
      <c r="AD109" s="529">
        <f t="shared" si="47"/>
        <v>7744.1968156881339</v>
      </c>
      <c r="AE109" s="529">
        <f t="shared" si="47"/>
        <v>7435.516940382834</v>
      </c>
      <c r="AH109" s="637">
        <f>IF('Flow charts'!$A$238=$T$98,AC109, IF('Flow charts'!$A$238=$U$98,AD109, IF('Flow charts'!$A$238=$V$98,AE109,"SELECT BP")))</f>
        <v>7744.1968156881339</v>
      </c>
      <c r="AI109" s="637">
        <f>IF('Flow charts'!$A$238=$T$98,Z109, IF('Flow charts'!$A$238=$U$98,AA109, IF('Flow charts'!$A$238=$V$98,AB109,"SELECT BP")))</f>
        <v>2722.4172179976167</v>
      </c>
      <c r="AJ109" s="637">
        <f>AH109-AI109</f>
        <v>5021.7795976905172</v>
      </c>
    </row>
    <row r="110" spans="1:36" x14ac:dyDescent="0.25">
      <c r="A110" s="885"/>
      <c r="B110" s="457" t="s">
        <v>11</v>
      </c>
      <c r="C110" s="250">
        <v>-56.6</v>
      </c>
      <c r="D110" s="250">
        <v>165</v>
      </c>
      <c r="E110" s="323">
        <f t="shared" si="40"/>
        <v>165</v>
      </c>
      <c r="F110" s="408" t="e">
        <f>IF(OR(#REF!="", E110=""),"",E110^J110*K110)</f>
        <v>#REF!</v>
      </c>
      <c r="G110" s="530">
        <f>IF(E110="---","---", E110^J110*K110)</f>
        <v>3724.4216002542839</v>
      </c>
      <c r="H110" s="167">
        <v>3724</v>
      </c>
      <c r="I110" s="212">
        <f t="shared" ref="I110:I117" si="48">(H110-G110)/H110</f>
        <v>-1.1321166871211884E-4</v>
      </c>
      <c r="J110" s="369">
        <v>0.502</v>
      </c>
      <c r="K110" s="593">
        <v>287</v>
      </c>
      <c r="L110" s="301"/>
      <c r="M110" s="301"/>
      <c r="N110" s="428"/>
      <c r="O110" s="594"/>
      <c r="P110" s="594"/>
      <c r="Q110" s="594"/>
      <c r="R110" s="534">
        <v>0.5</v>
      </c>
      <c r="S110" s="350">
        <v>25</v>
      </c>
      <c r="T110" s="360">
        <f t="shared" ref="T110:V117" si="49">IF($R110*T$98&gt;$S110, $R110*T$98, $S110)</f>
        <v>25</v>
      </c>
      <c r="U110" s="361">
        <f t="shared" si="49"/>
        <v>25</v>
      </c>
      <c r="V110" s="361">
        <f t="shared" si="49"/>
        <v>37.5</v>
      </c>
      <c r="W110" s="363">
        <v>350</v>
      </c>
      <c r="X110" s="595">
        <v>275</v>
      </c>
      <c r="Y110" s="363">
        <v>245</v>
      </c>
      <c r="Z110" s="535">
        <f t="shared" si="47"/>
        <v>1444.2679740660683</v>
      </c>
      <c r="AA110" s="535">
        <f t="shared" si="47"/>
        <v>1444.2679740660683</v>
      </c>
      <c r="AB110" s="535">
        <f t="shared" si="47"/>
        <v>1770.2947977731253</v>
      </c>
      <c r="AC110" s="536">
        <f t="shared" si="47"/>
        <v>5432.5540383226626</v>
      </c>
      <c r="AD110" s="536">
        <f t="shared" si="47"/>
        <v>4813.1224321731115</v>
      </c>
      <c r="AE110" s="536">
        <f t="shared" si="47"/>
        <v>4541.9596435444328</v>
      </c>
      <c r="AH110" s="637">
        <f>IF('Flow charts'!$A$238=$T$98,AC110, IF('Flow charts'!$A$238=$U$98,AD110, IF('Flow charts'!$A$238=$V$98,AE110,"SELECT BP")))</f>
        <v>4813.1224321731115</v>
      </c>
      <c r="AI110" s="637">
        <f>IF('Flow charts'!$A$238=$T$98,Z110, IF('Flow charts'!$A$238=$U$98,AA110, IF('Flow charts'!$A$238=$V$98,AB110,"SELECT BP")))</f>
        <v>1444.2679740660683</v>
      </c>
      <c r="AJ110" s="637">
        <f t="shared" ref="AJ110:AJ117" si="50">AH110-AI110</f>
        <v>3368.8544581070432</v>
      </c>
    </row>
    <row r="111" spans="1:36" x14ac:dyDescent="0.25">
      <c r="A111" s="885"/>
      <c r="B111" s="429" t="s">
        <v>12</v>
      </c>
      <c r="C111" s="250">
        <v>53</v>
      </c>
      <c r="D111" s="250">
        <v>435.5</v>
      </c>
      <c r="E111" s="430">
        <f t="shared" si="40"/>
        <v>382.5</v>
      </c>
      <c r="F111" s="408" t="e">
        <f>IF(OR(#REF!="", E111=""),"",E111^J111*K111)</f>
        <v>#REF!</v>
      </c>
      <c r="G111" s="537">
        <f>IF(E111="---","---", E111^J111*K111)</f>
        <v>2809.695060733161</v>
      </c>
      <c r="H111" s="167">
        <v>2810</v>
      </c>
      <c r="I111" s="212">
        <f t="shared" si="48"/>
        <v>1.0851931204235881E-4</v>
      </c>
      <c r="J111" s="369">
        <v>0.54</v>
      </c>
      <c r="K111" s="596">
        <v>113.25</v>
      </c>
      <c r="L111" s="301"/>
      <c r="M111" s="301"/>
      <c r="N111" s="428"/>
      <c r="O111" s="594"/>
      <c r="P111" s="594"/>
      <c r="Q111" s="594"/>
      <c r="R111" s="534">
        <v>0.8</v>
      </c>
      <c r="S111" s="350">
        <v>40</v>
      </c>
      <c r="T111" s="336">
        <f t="shared" si="49"/>
        <v>40</v>
      </c>
      <c r="U111" s="351">
        <f>IF($R111*U$98&gt;$S111, $R111*U$98, $S111)</f>
        <v>40</v>
      </c>
      <c r="V111" s="351">
        <f>IF($R111*V$98&gt;$S111, $R111*V$98, $S111)</f>
        <v>60</v>
      </c>
      <c r="W111" s="352">
        <v>477</v>
      </c>
      <c r="X111" s="352">
        <v>410</v>
      </c>
      <c r="Y111" s="352">
        <v>365</v>
      </c>
      <c r="Z111" s="597">
        <f t="shared" si="47"/>
        <v>830.13859566929511</v>
      </c>
      <c r="AA111" s="597">
        <f t="shared" si="47"/>
        <v>830.13859566929511</v>
      </c>
      <c r="AB111" s="597">
        <f t="shared" si="47"/>
        <v>1033.33201703072</v>
      </c>
      <c r="AC111" s="598">
        <f t="shared" si="47"/>
        <v>3165.4695146682052</v>
      </c>
      <c r="AD111" s="598">
        <f t="shared" si="47"/>
        <v>2917.0340145551158</v>
      </c>
      <c r="AE111" s="598">
        <f t="shared" si="47"/>
        <v>2739.5318724029053</v>
      </c>
      <c r="AH111" s="637">
        <f>IF('Flow charts'!$A$238=$T$98,AC111, IF('Flow charts'!$A$238=$U$98,AD111, IF('Flow charts'!$A$238=$V$98,AE111,"SELECT BP")))</f>
        <v>2917.0340145551158</v>
      </c>
      <c r="AI111" s="637">
        <f>IF('Flow charts'!$A$238=$T$98,Z111, IF('Flow charts'!$A$238=$U$98,AA111, IF('Flow charts'!$A$238=$V$98,AB111,"SELECT BP")))</f>
        <v>830.13859566929511</v>
      </c>
      <c r="AJ111" s="637">
        <f t="shared" si="50"/>
        <v>2086.8954188858206</v>
      </c>
    </row>
    <row r="112" spans="1:36" x14ac:dyDescent="0.25">
      <c r="A112" s="885"/>
      <c r="B112" s="357" t="s">
        <v>13</v>
      </c>
      <c r="C112" s="250">
        <v>53</v>
      </c>
      <c r="D112" s="250">
        <v>435.5</v>
      </c>
      <c r="E112" s="430">
        <f t="shared" si="40"/>
        <v>382.5</v>
      </c>
      <c r="F112" s="408" t="e">
        <f>IF(OR(#REF!="", E112=""),"",E112^3*N112+E112^2*O112+E112*P112+Q112+(L112-#REF!)*M112)</f>
        <v>#REF!</v>
      </c>
      <c r="G112" s="568">
        <f t="shared" ref="G112:G117" si="51">IF(E112="---","---", E112^3*N112+E112^2*O112+E112*P112+Q112+(L112-ABS(C112))*M112)</f>
        <v>1214.0556209375</v>
      </c>
      <c r="H112" s="167">
        <v>1214</v>
      </c>
      <c r="I112" s="212">
        <f t="shared" si="48"/>
        <v>-4.5816258237193215E-5</v>
      </c>
      <c r="J112" s="496"/>
      <c r="K112" s="359"/>
      <c r="L112" s="301">
        <v>0</v>
      </c>
      <c r="M112" s="596">
        <v>0.7</v>
      </c>
      <c r="N112" s="599">
        <v>6.6200000000000001E-6</v>
      </c>
      <c r="O112" s="600">
        <v>-7.7999999999999996E-3</v>
      </c>
      <c r="P112" s="601">
        <v>4.75</v>
      </c>
      <c r="Q112" s="594">
        <v>205</v>
      </c>
      <c r="R112" s="534">
        <v>0.8</v>
      </c>
      <c r="S112" s="656">
        <v>40</v>
      </c>
      <c r="T112" s="360">
        <f t="shared" si="49"/>
        <v>40</v>
      </c>
      <c r="U112" s="361">
        <f t="shared" si="49"/>
        <v>40</v>
      </c>
      <c r="V112" s="361">
        <f t="shared" si="49"/>
        <v>60</v>
      </c>
      <c r="W112" s="602">
        <v>485</v>
      </c>
      <c r="X112" s="602">
        <v>425</v>
      </c>
      <c r="Y112" s="602">
        <v>485</v>
      </c>
      <c r="Z112" s="603">
        <f t="shared" ref="Z112:AD117" si="52">T112^3*$N112+T112^2*$O112+T112*$P112+$Q112+($L112-ABS(Z$98))*$M112</f>
        <v>382.94367999999997</v>
      </c>
      <c r="AA112" s="603">
        <f t="shared" si="52"/>
        <v>347.94367999999997</v>
      </c>
      <c r="AB112" s="603">
        <f t="shared" si="52"/>
        <v>410.84992</v>
      </c>
      <c r="AC112" s="604">
        <f t="shared" si="52"/>
        <v>1429.2319075</v>
      </c>
      <c r="AD112" s="604">
        <f t="shared" si="52"/>
        <v>1288.0634375</v>
      </c>
      <c r="AE112" s="604">
        <f t="shared" ref="AE112:AE117" si="53">Y112^3*$N112+Y112^2*$O112+Y112*$P112+$Q112+($L112-ABS(Y$98))*$M112</f>
        <v>1376.7319075</v>
      </c>
      <c r="AH112" s="637">
        <f>IF('Flow charts'!$A$238=$T$98,AC112, IF('Flow charts'!$A$238=$U$98,AD112, IF('Flow charts'!$A$238=$V$98,AE112,"SELECT BP")))</f>
        <v>1288.0634375</v>
      </c>
      <c r="AI112" s="637">
        <f>IF('Flow charts'!$A$238=$T$98,Z112, IF('Flow charts'!$A$238=$U$98,AA112, IF('Flow charts'!$A$238=$V$98,AB112,"SELECT BP")))</f>
        <v>347.94367999999997</v>
      </c>
      <c r="AJ112" s="637">
        <f t="shared" si="50"/>
        <v>940.11975749999999</v>
      </c>
    </row>
    <row r="113" spans="1:36" x14ac:dyDescent="0.25">
      <c r="A113" s="885"/>
      <c r="B113" s="357" t="s">
        <v>14</v>
      </c>
      <c r="C113" s="250">
        <v>53</v>
      </c>
      <c r="D113" s="250">
        <v>435.5</v>
      </c>
      <c r="E113" s="358">
        <f>IF(OR(C113="",D113="",D113&lt;0),"",        IF(AND(C113&lt;=0,D113&gt;=S113, D113&gt;=ABS(C113)*R113),D113,         IF(AND(C113&gt;0, (ABS(D113)-C113)&gt;=S113, (ABS(D113)-C113)&gt;=ABS(C113)*R113),(ABS(D113)-C113),"---")))</f>
        <v>382.5</v>
      </c>
      <c r="F113" s="408" t="e">
        <f>IF(OR(#REF!="", E113=""),"",E113^3*N113+E113^2*O113+E113*P113+Q113+(L113-#REF!)*M113)</f>
        <v>#REF!</v>
      </c>
      <c r="G113" s="530">
        <f>IF(E113="---","---", E113^3*N113+E113^2*O113+E113*P113+Q113+(L113-ABS(C113))*M113)</f>
        <v>506.0032968750001</v>
      </c>
      <c r="H113" s="167">
        <v>506.1</v>
      </c>
      <c r="I113" s="212">
        <f t="shared" si="48"/>
        <v>1.9107513337269217E-4</v>
      </c>
      <c r="J113" s="496"/>
      <c r="K113" s="376"/>
      <c r="L113" s="301">
        <v>40</v>
      </c>
      <c r="M113" s="596">
        <v>0.85</v>
      </c>
      <c r="N113" s="599">
        <v>3.0000000000000001E-6</v>
      </c>
      <c r="O113" s="600">
        <v>-3.7000000000000002E-3</v>
      </c>
      <c r="P113" s="601">
        <v>2.2000000000000002</v>
      </c>
      <c r="Q113" s="594">
        <v>49</v>
      </c>
      <c r="R113" s="534">
        <v>1</v>
      </c>
      <c r="S113" s="656">
        <v>50</v>
      </c>
      <c r="T113" s="336">
        <f t="shared" si="49"/>
        <v>50</v>
      </c>
      <c r="U113" s="351">
        <f t="shared" si="49"/>
        <v>50</v>
      </c>
      <c r="V113" s="351">
        <f t="shared" si="49"/>
        <v>75</v>
      </c>
      <c r="W113" s="605">
        <v>466</v>
      </c>
      <c r="X113" s="605">
        <v>430</v>
      </c>
      <c r="Y113" s="605">
        <v>402</v>
      </c>
      <c r="Z113" s="606">
        <f t="shared" si="52"/>
        <v>184.125</v>
      </c>
      <c r="AA113" s="606">
        <f t="shared" si="52"/>
        <v>141.625</v>
      </c>
      <c r="AB113" s="606">
        <f t="shared" si="52"/>
        <v>164.703125</v>
      </c>
      <c r="AC113" s="607">
        <f t="shared" si="52"/>
        <v>608.30688800000007</v>
      </c>
      <c r="AD113" s="607">
        <f t="shared" si="52"/>
        <v>540.89100000000008</v>
      </c>
      <c r="AE113" s="607">
        <f t="shared" si="53"/>
        <v>500.60962400000017</v>
      </c>
      <c r="AH113" s="637">
        <f>IF('Flow charts'!$A$238=$T$98,AC113, IF('Flow charts'!$A$238=$U$98,AD113, IF('Flow charts'!$A$238=$V$98,AE113,"SELECT BP")))</f>
        <v>540.89100000000008</v>
      </c>
      <c r="AI113" s="637">
        <f>IF('Flow charts'!$A$238=$T$98,Z113, IF('Flow charts'!$A$238=$U$98,AA113, IF('Flow charts'!$A$238=$V$98,AB113,"SELECT BP")))</f>
        <v>141.625</v>
      </c>
      <c r="AJ113" s="637">
        <f t="shared" si="50"/>
        <v>399.26600000000008</v>
      </c>
    </row>
    <row r="114" spans="1:36" x14ac:dyDescent="0.25">
      <c r="A114" s="885"/>
      <c r="B114" s="457" t="s">
        <v>15</v>
      </c>
      <c r="C114" s="250">
        <v>53</v>
      </c>
      <c r="D114" s="250">
        <v>435.5</v>
      </c>
      <c r="E114" s="358">
        <f t="shared" si="40"/>
        <v>382.5</v>
      </c>
      <c r="F114" s="408" t="e">
        <f>IF(OR(#REF!="", E114=""),"",E114^3*N114+E114^2*O114+E114*P114+Q114+(L114-#REF!)*M114)</f>
        <v>#REF!</v>
      </c>
      <c r="G114" s="568">
        <f t="shared" si="51"/>
        <v>267.1792065625001</v>
      </c>
      <c r="H114" s="167">
        <v>267.2</v>
      </c>
      <c r="I114" s="212">
        <f t="shared" si="48"/>
        <v>7.7819751122342568E-5</v>
      </c>
      <c r="J114" s="496"/>
      <c r="K114" s="376"/>
      <c r="L114" s="301">
        <v>65</v>
      </c>
      <c r="M114" s="596">
        <v>0.2</v>
      </c>
      <c r="N114" s="599">
        <v>1.06E-6</v>
      </c>
      <c r="O114" s="594">
        <v>-1.382E-3</v>
      </c>
      <c r="P114" s="657">
        <v>0.96511000000000013</v>
      </c>
      <c r="Q114" s="594">
        <v>38.5</v>
      </c>
      <c r="R114" s="534">
        <v>1</v>
      </c>
      <c r="S114" s="656">
        <v>60</v>
      </c>
      <c r="T114" s="360">
        <f t="shared" si="49"/>
        <v>60</v>
      </c>
      <c r="U114" s="361">
        <f t="shared" si="49"/>
        <v>60</v>
      </c>
      <c r="V114" s="361">
        <f t="shared" si="49"/>
        <v>75</v>
      </c>
      <c r="W114" s="602">
        <v>475</v>
      </c>
      <c r="X114" s="608">
        <v>454</v>
      </c>
      <c r="Y114" s="602">
        <v>415</v>
      </c>
      <c r="Z114" s="609">
        <f t="shared" si="52"/>
        <v>104.66036000000001</v>
      </c>
      <c r="AA114" s="603">
        <f t="shared" si="52"/>
        <v>94.660360000000011</v>
      </c>
      <c r="AB114" s="603">
        <f t="shared" si="52"/>
        <v>101.55668750000001</v>
      </c>
      <c r="AC114" s="608">
        <f t="shared" si="52"/>
        <v>311.71568750000012</v>
      </c>
      <c r="AD114" s="608">
        <f t="shared" si="52"/>
        <v>293.99889184000006</v>
      </c>
      <c r="AE114" s="608">
        <f t="shared" si="53"/>
        <v>274.76747750000004</v>
      </c>
      <c r="AH114" s="637">
        <f>IF('Flow charts'!$A$238=$T$98,AC114, IF('Flow charts'!$A$238=$U$98,AD114, IF('Flow charts'!$A$238=$V$98,AE114,"SELECT BP")))</f>
        <v>293.99889184000006</v>
      </c>
      <c r="AI114" s="637">
        <f>IF('Flow charts'!$A$238=$T$98,Z114, IF('Flow charts'!$A$238=$U$98,AA114, IF('Flow charts'!$A$238=$V$98,AB114,"SELECT BP")))</f>
        <v>94.660360000000011</v>
      </c>
      <c r="AJ114" s="637">
        <f t="shared" si="50"/>
        <v>199.33853184000003</v>
      </c>
    </row>
    <row r="115" spans="1:36" x14ac:dyDescent="0.25">
      <c r="A115" s="885"/>
      <c r="B115" s="357" t="s">
        <v>16</v>
      </c>
      <c r="C115" s="250">
        <v>53</v>
      </c>
      <c r="D115" s="250">
        <v>435.5</v>
      </c>
      <c r="E115" s="358">
        <f t="shared" si="40"/>
        <v>382.5</v>
      </c>
      <c r="F115" s="408" t="e">
        <f>IF(OR(#REF!="", E115=""),"",E115^3*N115+E115^2*O115+E115*P115+Q115+(L115-#REF!)*M115)</f>
        <v>#REF!</v>
      </c>
      <c r="G115" s="530">
        <f t="shared" si="51"/>
        <v>145.15529581249999</v>
      </c>
      <c r="H115" s="167">
        <v>145.1</v>
      </c>
      <c r="I115" s="212">
        <f t="shared" si="48"/>
        <v>-3.8108761199167354E-4</v>
      </c>
      <c r="J115" s="496"/>
      <c r="K115" s="460"/>
      <c r="L115" s="301">
        <v>25</v>
      </c>
      <c r="M115" s="596">
        <v>0.14499999999999999</v>
      </c>
      <c r="N115" s="599">
        <v>7.9599999999999998E-7</v>
      </c>
      <c r="O115" s="600">
        <v>-9.5009999999999995E-4</v>
      </c>
      <c r="P115" s="533">
        <v>0.59</v>
      </c>
      <c r="Q115" s="594">
        <v>18</v>
      </c>
      <c r="R115" s="534">
        <v>0.8</v>
      </c>
      <c r="S115" s="350">
        <v>35</v>
      </c>
      <c r="T115" s="360">
        <f t="shared" si="49"/>
        <v>35</v>
      </c>
      <c r="U115" s="361">
        <f t="shared" si="49"/>
        <v>40</v>
      </c>
      <c r="V115" s="361">
        <f t="shared" si="49"/>
        <v>60</v>
      </c>
      <c r="W115" s="363">
        <v>480</v>
      </c>
      <c r="X115" s="608">
        <v>454</v>
      </c>
      <c r="Y115" s="602">
        <v>427</v>
      </c>
      <c r="Z115" s="609">
        <f t="shared" si="52"/>
        <v>41.145256000000003</v>
      </c>
      <c r="AA115" s="609">
        <f t="shared" si="52"/>
        <v>36.505783999999998</v>
      </c>
      <c r="AB115" s="609">
        <f t="shared" si="52"/>
        <v>42.901575999999999</v>
      </c>
      <c r="AC115" s="608">
        <f t="shared" si="52"/>
        <v>173.953192</v>
      </c>
      <c r="AD115" s="608">
        <f t="shared" si="52"/>
        <v>160.89121294400002</v>
      </c>
      <c r="AE115" s="608">
        <f t="shared" si="53"/>
        <v>151.42138556800001</v>
      </c>
      <c r="AH115" s="637">
        <f>IF('Flow charts'!$A$238=$T$98,AC115, IF('Flow charts'!$A$238=$U$98,AD115, IF('Flow charts'!$A$238=$V$98,AE115,"SELECT BP")))</f>
        <v>160.89121294400002</v>
      </c>
      <c r="AI115" s="637">
        <f>IF('Flow charts'!$A$238=$T$98,Z115, IF('Flow charts'!$A$238=$U$98,AA115, IF('Flow charts'!$A$238=$V$98,AB115,"SELECT BP")))</f>
        <v>36.505783999999998</v>
      </c>
      <c r="AJ115" s="637">
        <f t="shared" si="50"/>
        <v>124.38542894400001</v>
      </c>
    </row>
    <row r="116" spans="1:36" x14ac:dyDescent="0.25">
      <c r="A116" s="885"/>
      <c r="B116" s="357" t="s">
        <v>17</v>
      </c>
      <c r="C116" s="250">
        <v>53</v>
      </c>
      <c r="D116" s="250">
        <v>435.5</v>
      </c>
      <c r="E116" s="323">
        <f t="shared" si="40"/>
        <v>382.5</v>
      </c>
      <c r="F116" s="408" t="e">
        <f>IF(OR(#REF!="", E116=""),"",E116^3*N116+E116^2*O116+E116*P116+Q116+(L116-#REF!)*M116)</f>
        <v>#REF!</v>
      </c>
      <c r="G116" s="537">
        <f t="shared" si="51"/>
        <v>65.192998583812752</v>
      </c>
      <c r="H116" s="167">
        <v>65.19</v>
      </c>
      <c r="I116" s="212">
        <f t="shared" si="48"/>
        <v>-4.5997604122632589E-5</v>
      </c>
      <c r="J116" s="496"/>
      <c r="K116" s="460"/>
      <c r="L116" s="301">
        <v>25</v>
      </c>
      <c r="M116" s="596">
        <v>0.09</v>
      </c>
      <c r="N116" s="599">
        <v>2.6904318197461721E-7</v>
      </c>
      <c r="O116" s="611">
        <v>-3.5905495356519798E-4</v>
      </c>
      <c r="P116" s="533">
        <v>0.24349999999999999</v>
      </c>
      <c r="Q116" s="594">
        <v>12.05</v>
      </c>
      <c r="R116" s="534">
        <v>1</v>
      </c>
      <c r="S116" s="350">
        <v>50</v>
      </c>
      <c r="T116" s="291">
        <f t="shared" si="49"/>
        <v>50</v>
      </c>
      <c r="U116" s="292">
        <f t="shared" si="49"/>
        <v>50</v>
      </c>
      <c r="V116" s="292">
        <f t="shared" si="49"/>
        <v>75</v>
      </c>
      <c r="W116" s="307">
        <v>480</v>
      </c>
      <c r="X116" s="624">
        <v>462</v>
      </c>
      <c r="Y116" s="625">
        <v>417</v>
      </c>
      <c r="Z116" s="626">
        <f t="shared" si="52"/>
        <v>25.610993013833834</v>
      </c>
      <c r="AA116" s="626">
        <f t="shared" si="52"/>
        <v>21.110993013833834</v>
      </c>
      <c r="AB116" s="626">
        <f t="shared" si="52"/>
        <v>23.906318478591302</v>
      </c>
      <c r="AC116" s="627">
        <f t="shared" si="52"/>
        <v>78.207762279515251</v>
      </c>
      <c r="AD116" s="627">
        <f t="shared" si="52"/>
        <v>72.18952614645616</v>
      </c>
      <c r="AE116" s="627">
        <f t="shared" si="53"/>
        <v>66.162575175451508</v>
      </c>
      <c r="AH116" s="637">
        <f>IF('Flow charts'!$A$238=$T$98,AC116, IF('Flow charts'!$A$238=$U$98,AD116, IF('Flow charts'!$A$238=$V$98,AE116,"SELECT BP")))</f>
        <v>72.18952614645616</v>
      </c>
      <c r="AI116" s="637">
        <f>IF('Flow charts'!$A$238=$T$98,Z116, IF('Flow charts'!$A$238=$U$98,AA116, IF('Flow charts'!$A$238=$V$98,AB116,"SELECT BP")))</f>
        <v>21.110993013833834</v>
      </c>
      <c r="AJ116" s="637">
        <f t="shared" si="50"/>
        <v>51.078533132622326</v>
      </c>
    </row>
    <row r="117" spans="1:36" ht="15.75" thickBot="1" x14ac:dyDescent="0.3">
      <c r="A117" s="886"/>
      <c r="B117" s="513" t="s">
        <v>18</v>
      </c>
      <c r="C117" s="249">
        <v>53</v>
      </c>
      <c r="D117" s="249">
        <v>435.5</v>
      </c>
      <c r="E117" s="433">
        <f t="shared" si="40"/>
        <v>382.5</v>
      </c>
      <c r="F117" s="542" t="e">
        <f>IF(OR(#REF!="", E117=""),"",E117^3*N117+E117^2*O117+E117*P117+Q117+(L117-#REF!)*M117)</f>
        <v>#REF!</v>
      </c>
      <c r="G117" s="543">
        <f t="shared" si="51"/>
        <v>24.562166359375002</v>
      </c>
      <c r="H117" s="173">
        <v>24.57</v>
      </c>
      <c r="I117" s="213">
        <f t="shared" si="48"/>
        <v>3.1882949226691654E-4</v>
      </c>
      <c r="J117" s="380"/>
      <c r="K117" s="504"/>
      <c r="L117" s="381">
        <v>25</v>
      </c>
      <c r="M117" s="546">
        <v>-0.02</v>
      </c>
      <c r="N117" s="547">
        <v>1.11E-7</v>
      </c>
      <c r="O117" s="613">
        <v>-1.4899999999999999E-4</v>
      </c>
      <c r="P117" s="614">
        <v>9.1999999999999998E-2</v>
      </c>
      <c r="Q117" s="550">
        <v>4.4000000000000004</v>
      </c>
      <c r="R117" s="551">
        <v>0.6</v>
      </c>
      <c r="S117" s="382">
        <v>50</v>
      </c>
      <c r="T117" s="314">
        <f t="shared" si="49"/>
        <v>50</v>
      </c>
      <c r="U117" s="315">
        <f t="shared" si="49"/>
        <v>50</v>
      </c>
      <c r="V117" s="315">
        <f t="shared" si="49"/>
        <v>50</v>
      </c>
      <c r="W117" s="321">
        <v>480</v>
      </c>
      <c r="X117" s="615">
        <v>457</v>
      </c>
      <c r="Y117" s="552">
        <v>434</v>
      </c>
      <c r="Z117" s="616">
        <f t="shared" si="52"/>
        <v>8.141375</v>
      </c>
      <c r="AA117" s="616">
        <f t="shared" si="52"/>
        <v>9.141375</v>
      </c>
      <c r="AB117" s="616">
        <f t="shared" si="52"/>
        <v>9.641375</v>
      </c>
      <c r="AC117" s="617">
        <f t="shared" si="52"/>
        <v>26.006111999999995</v>
      </c>
      <c r="AD117" s="617">
        <f t="shared" si="52"/>
        <v>26.419782222999999</v>
      </c>
      <c r="AE117" s="617">
        <f t="shared" si="53"/>
        <v>26.336817944000003</v>
      </c>
      <c r="AH117" s="637">
        <f>IF('Flow charts'!$A$238=$T$98,AC117, IF('Flow charts'!$A$238=$U$98,AD117, IF('Flow charts'!$A$238=$V$98,AE117,"SELECT BP")))</f>
        <v>26.419782222999999</v>
      </c>
      <c r="AI117" s="639">
        <f>IF('Flow charts'!$A$238=$T$98,Z117, IF('Flow charts'!$A$238=$U$98,AA117, IF('Flow charts'!$A$238=$V$98,AB117,"SELECT BP")))</f>
        <v>9.141375</v>
      </c>
      <c r="AJ117" s="637">
        <f t="shared" si="50"/>
        <v>17.278407222999999</v>
      </c>
    </row>
    <row r="118" spans="1:36" x14ac:dyDescent="0.25"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</row>
    <row r="119" spans="1:36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</row>
    <row r="120" spans="1:36" x14ac:dyDescent="0.25">
      <c r="A120" s="334"/>
      <c r="B120" s="592"/>
      <c r="C120" s="628"/>
      <c r="D120" s="628"/>
      <c r="E120" s="580"/>
      <c r="F120" s="581"/>
      <c r="G120" s="581"/>
      <c r="H120" s="581"/>
      <c r="I120" s="581"/>
      <c r="J120" s="334"/>
      <c r="K120" s="629"/>
      <c r="L120" s="334"/>
    </row>
    <row r="121" spans="1:36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</row>
    <row r="122" spans="1:36" x14ac:dyDescent="0.25">
      <c r="Z122" s="269"/>
      <c r="AA122" s="269"/>
      <c r="AB122" s="269"/>
      <c r="AC122" s="269"/>
      <c r="AD122" s="269"/>
    </row>
    <row r="123" spans="1:36" x14ac:dyDescent="0.25">
      <c r="Z123" s="269"/>
      <c r="AA123" s="269"/>
      <c r="AB123" s="269"/>
      <c r="AC123" s="269"/>
      <c r="AD123" s="630"/>
    </row>
    <row r="124" spans="1:36" x14ac:dyDescent="0.25">
      <c r="Z124" s="631"/>
      <c r="AA124" s="631"/>
      <c r="AB124" s="632"/>
      <c r="AC124" s="632"/>
      <c r="AD124" s="632"/>
    </row>
    <row r="125" spans="1:36" x14ac:dyDescent="0.25">
      <c r="Z125" s="633"/>
      <c r="AA125" s="633"/>
      <c r="AB125" s="631"/>
      <c r="AC125" s="631"/>
      <c r="AD125" s="631"/>
    </row>
    <row r="126" spans="1:36" x14ac:dyDescent="0.25">
      <c r="AA126" s="634"/>
      <c r="AB126" s="635"/>
      <c r="AC126" s="635"/>
      <c r="AD126" s="634"/>
    </row>
    <row r="127" spans="1:36" x14ac:dyDescent="0.25">
      <c r="AA127" s="634"/>
      <c r="AB127" s="635"/>
      <c r="AC127" s="635"/>
      <c r="AD127" s="634"/>
    </row>
    <row r="128" spans="1:36" x14ac:dyDescent="0.25">
      <c r="AA128" s="634"/>
      <c r="AB128" s="635"/>
      <c r="AC128" s="635"/>
      <c r="AD128" s="634"/>
    </row>
    <row r="129" spans="27:30" x14ac:dyDescent="0.25">
      <c r="AA129" s="634"/>
      <c r="AB129" s="634"/>
      <c r="AC129" s="635"/>
      <c r="AD129" s="634"/>
    </row>
    <row r="130" spans="27:30" x14ac:dyDescent="0.25">
      <c r="AA130" s="634"/>
      <c r="AB130" s="634"/>
      <c r="AC130" s="635"/>
      <c r="AD130" s="634"/>
    </row>
    <row r="131" spans="27:30" x14ac:dyDescent="0.25">
      <c r="AA131" s="345"/>
      <c r="AB131" s="345"/>
      <c r="AC131" s="345"/>
      <c r="AD131" s="345"/>
    </row>
    <row r="132" spans="27:30" x14ac:dyDescent="0.25">
      <c r="AA132" s="345"/>
      <c r="AB132" s="345"/>
      <c r="AC132" s="345"/>
      <c r="AD132" s="345"/>
    </row>
    <row r="133" spans="27:30" x14ac:dyDescent="0.25">
      <c r="AA133" s="345"/>
      <c r="AB133" s="345"/>
      <c r="AC133" s="345"/>
      <c r="AD133" s="345"/>
    </row>
    <row r="134" spans="27:30" x14ac:dyDescent="0.25">
      <c r="AA134" s="345"/>
      <c r="AB134" s="345"/>
      <c r="AC134" s="345"/>
      <c r="AD134" s="345"/>
    </row>
    <row r="135" spans="27:30" x14ac:dyDescent="0.25">
      <c r="AA135" s="345"/>
      <c r="AB135" s="345"/>
      <c r="AC135" s="345"/>
      <c r="AD135" s="345"/>
    </row>
    <row r="136" spans="27:30" x14ac:dyDescent="0.25">
      <c r="AA136" s="345"/>
      <c r="AB136" s="345"/>
      <c r="AC136" s="345"/>
      <c r="AD136" s="345"/>
    </row>
    <row r="137" spans="27:30" x14ac:dyDescent="0.25">
      <c r="AA137" s="345"/>
      <c r="AB137" s="345"/>
      <c r="AC137" s="345"/>
      <c r="AD137" s="345"/>
    </row>
    <row r="138" spans="27:30" x14ac:dyDescent="0.25">
      <c r="AA138" s="345"/>
      <c r="AB138" s="345"/>
      <c r="AC138" s="345"/>
      <c r="AD138" s="345"/>
    </row>
    <row r="139" spans="27:30" x14ac:dyDescent="0.25">
      <c r="AA139" s="345"/>
      <c r="AB139" s="345"/>
      <c r="AC139" s="345"/>
      <c r="AD139" s="345"/>
    </row>
    <row r="140" spans="27:30" x14ac:dyDescent="0.25">
      <c r="AA140" s="345"/>
      <c r="AB140" s="345"/>
      <c r="AC140" s="345"/>
      <c r="AD140" s="345"/>
    </row>
    <row r="141" spans="27:30" x14ac:dyDescent="0.25">
      <c r="AA141" s="345"/>
      <c r="AB141" s="345"/>
      <c r="AC141" s="345"/>
      <c r="AD141" s="345"/>
    </row>
    <row r="142" spans="27:30" x14ac:dyDescent="0.25">
      <c r="AA142" s="345"/>
      <c r="AB142" s="345"/>
      <c r="AC142" s="345"/>
      <c r="AD142" s="345"/>
    </row>
    <row r="143" spans="27:30" x14ac:dyDescent="0.25">
      <c r="AA143" s="345"/>
      <c r="AB143" s="345"/>
      <c r="AC143" s="345"/>
      <c r="AD143" s="345"/>
    </row>
    <row r="144" spans="27:30" x14ac:dyDescent="0.25">
      <c r="AA144" s="345"/>
      <c r="AB144" s="345"/>
      <c r="AC144" s="345"/>
      <c r="AD144" s="345"/>
    </row>
    <row r="145" spans="27:30" x14ac:dyDescent="0.25">
      <c r="AA145" s="345"/>
      <c r="AB145" s="345"/>
      <c r="AC145" s="345"/>
      <c r="AD145" s="345"/>
    </row>
    <row r="146" spans="27:30" x14ac:dyDescent="0.25">
      <c r="AA146" s="345"/>
      <c r="AB146" s="345"/>
      <c r="AC146" s="345"/>
      <c r="AD146" s="345"/>
    </row>
    <row r="147" spans="27:30" x14ac:dyDescent="0.25">
      <c r="AA147" s="345"/>
      <c r="AB147" s="345"/>
      <c r="AC147" s="345"/>
      <c r="AD147" s="345"/>
    </row>
    <row r="148" spans="27:30" x14ac:dyDescent="0.25">
      <c r="AA148" s="345"/>
      <c r="AB148" s="345"/>
      <c r="AC148" s="345"/>
      <c r="AD148" s="345"/>
    </row>
    <row r="149" spans="27:30" x14ac:dyDescent="0.25">
      <c r="AA149" s="345"/>
      <c r="AB149" s="345"/>
      <c r="AC149" s="345"/>
      <c r="AD149" s="345"/>
    </row>
    <row r="150" spans="27:30" x14ac:dyDescent="0.25">
      <c r="AA150" s="345"/>
      <c r="AB150" s="345"/>
      <c r="AC150" s="345"/>
      <c r="AD150" s="345"/>
    </row>
    <row r="151" spans="27:30" x14ac:dyDescent="0.25">
      <c r="AA151" s="345"/>
      <c r="AB151" s="345"/>
      <c r="AC151" s="345"/>
      <c r="AD151" s="345"/>
    </row>
    <row r="152" spans="27:30" x14ac:dyDescent="0.25">
      <c r="AA152" s="345"/>
      <c r="AB152" s="345"/>
      <c r="AC152" s="345"/>
      <c r="AD152" s="345"/>
    </row>
    <row r="153" spans="27:30" x14ac:dyDescent="0.25">
      <c r="AA153" s="345"/>
      <c r="AB153" s="345"/>
      <c r="AC153" s="345"/>
      <c r="AD153" s="345"/>
    </row>
    <row r="154" spans="27:30" x14ac:dyDescent="0.25">
      <c r="AA154" s="345"/>
      <c r="AB154" s="345"/>
      <c r="AC154" s="345"/>
      <c r="AD154" s="345"/>
    </row>
    <row r="155" spans="27:30" x14ac:dyDescent="0.25">
      <c r="AA155" s="345"/>
      <c r="AB155" s="345"/>
      <c r="AC155" s="345"/>
      <c r="AD155" s="345"/>
    </row>
    <row r="156" spans="27:30" x14ac:dyDescent="0.25">
      <c r="AA156" s="345"/>
      <c r="AB156" s="345"/>
      <c r="AC156" s="345"/>
      <c r="AD156" s="345"/>
    </row>
    <row r="157" spans="27:30" x14ac:dyDescent="0.25">
      <c r="AA157" s="345"/>
      <c r="AB157" s="345"/>
      <c r="AC157" s="345"/>
      <c r="AD157" s="345"/>
    </row>
    <row r="158" spans="27:30" x14ac:dyDescent="0.25">
      <c r="AA158" s="345"/>
      <c r="AB158" s="345"/>
      <c r="AC158" s="345"/>
      <c r="AD158" s="345"/>
    </row>
    <row r="159" spans="27:30" x14ac:dyDescent="0.25">
      <c r="AA159" s="345"/>
      <c r="AB159" s="345"/>
      <c r="AC159" s="345"/>
      <c r="AD159" s="345"/>
    </row>
    <row r="160" spans="27:30" x14ac:dyDescent="0.25">
      <c r="AA160" s="345"/>
      <c r="AB160" s="345"/>
      <c r="AC160" s="345"/>
      <c r="AD160" s="345"/>
    </row>
    <row r="161" spans="27:30" x14ac:dyDescent="0.25">
      <c r="AA161" s="345"/>
      <c r="AB161" s="345"/>
      <c r="AC161" s="345"/>
      <c r="AD161" s="345"/>
    </row>
    <row r="162" spans="27:30" x14ac:dyDescent="0.25">
      <c r="AA162" s="345"/>
      <c r="AB162" s="345"/>
      <c r="AC162" s="345"/>
      <c r="AD162" s="345"/>
    </row>
    <row r="163" spans="27:30" x14ac:dyDescent="0.25">
      <c r="AA163" s="345"/>
      <c r="AB163" s="345"/>
      <c r="AC163" s="345"/>
      <c r="AD163" s="345"/>
    </row>
    <row r="164" spans="27:30" x14ac:dyDescent="0.25">
      <c r="AA164" s="345"/>
      <c r="AB164" s="345"/>
      <c r="AC164" s="345"/>
      <c r="AD164" s="345"/>
    </row>
    <row r="165" spans="27:30" x14ac:dyDescent="0.25">
      <c r="AA165" s="345"/>
      <c r="AB165" s="345"/>
      <c r="AC165" s="345"/>
      <c r="AD165" s="345"/>
    </row>
    <row r="166" spans="27:30" x14ac:dyDescent="0.25">
      <c r="AA166" s="345"/>
      <c r="AB166" s="345"/>
      <c r="AC166" s="345"/>
      <c r="AD166" s="345"/>
    </row>
    <row r="167" spans="27:30" x14ac:dyDescent="0.25">
      <c r="AA167" s="345"/>
      <c r="AB167" s="345"/>
      <c r="AC167" s="345"/>
      <c r="AD167" s="345"/>
    </row>
    <row r="168" spans="27:30" x14ac:dyDescent="0.25">
      <c r="AA168" s="345"/>
      <c r="AB168" s="345"/>
      <c r="AC168" s="345"/>
      <c r="AD168" s="345"/>
    </row>
    <row r="169" spans="27:30" x14ac:dyDescent="0.25">
      <c r="AA169" s="345"/>
      <c r="AB169" s="345"/>
      <c r="AC169" s="345"/>
      <c r="AD169" s="345"/>
    </row>
    <row r="170" spans="27:30" x14ac:dyDescent="0.25">
      <c r="AA170" s="345"/>
      <c r="AB170" s="345"/>
      <c r="AC170" s="345"/>
      <c r="AD170" s="345"/>
    </row>
    <row r="171" spans="27:30" x14ac:dyDescent="0.25">
      <c r="AA171" s="345"/>
      <c r="AB171" s="345"/>
      <c r="AC171" s="345"/>
      <c r="AD171" s="345"/>
    </row>
    <row r="172" spans="27:30" x14ac:dyDescent="0.25">
      <c r="AA172" s="345"/>
      <c r="AB172" s="345"/>
      <c r="AC172" s="345"/>
      <c r="AD172" s="345"/>
    </row>
    <row r="173" spans="27:30" x14ac:dyDescent="0.25">
      <c r="AA173" s="345"/>
      <c r="AB173" s="345"/>
      <c r="AC173" s="345"/>
      <c r="AD173" s="345"/>
    </row>
    <row r="174" spans="27:30" x14ac:dyDescent="0.25">
      <c r="AA174" s="345"/>
      <c r="AB174" s="345"/>
      <c r="AC174" s="345"/>
      <c r="AD174" s="345"/>
    </row>
    <row r="175" spans="27:30" x14ac:dyDescent="0.25">
      <c r="AA175" s="345"/>
      <c r="AB175" s="345"/>
      <c r="AC175" s="345"/>
      <c r="AD175" s="345"/>
    </row>
    <row r="176" spans="27:30" x14ac:dyDescent="0.25">
      <c r="AA176" s="345"/>
      <c r="AB176" s="345"/>
      <c r="AC176" s="345"/>
      <c r="AD176" s="345"/>
    </row>
    <row r="177" spans="27:30" x14ac:dyDescent="0.25">
      <c r="AA177" s="345"/>
      <c r="AB177" s="345"/>
      <c r="AC177" s="345"/>
      <c r="AD177" s="345"/>
    </row>
    <row r="178" spans="27:30" x14ac:dyDescent="0.25">
      <c r="AA178" s="345"/>
      <c r="AB178" s="345"/>
      <c r="AC178" s="345"/>
      <c r="AD178" s="345"/>
    </row>
    <row r="179" spans="27:30" x14ac:dyDescent="0.25">
      <c r="AA179" s="345"/>
      <c r="AB179" s="345"/>
      <c r="AC179" s="345"/>
      <c r="AD179" s="345"/>
    </row>
    <row r="180" spans="27:30" x14ac:dyDescent="0.25">
      <c r="AA180" s="345"/>
      <c r="AB180" s="345"/>
      <c r="AC180" s="345"/>
      <c r="AD180" s="345"/>
    </row>
    <row r="181" spans="27:30" x14ac:dyDescent="0.25">
      <c r="AA181" s="345"/>
      <c r="AB181" s="345"/>
      <c r="AC181" s="345"/>
      <c r="AD181" s="345"/>
    </row>
    <row r="182" spans="27:30" x14ac:dyDescent="0.25">
      <c r="AA182" s="345"/>
      <c r="AB182" s="345"/>
      <c r="AC182" s="345"/>
      <c r="AD182" s="345"/>
    </row>
    <row r="183" spans="27:30" x14ac:dyDescent="0.25">
      <c r="AA183" s="345"/>
      <c r="AB183" s="345"/>
      <c r="AC183" s="345"/>
      <c r="AD183" s="345"/>
    </row>
    <row r="184" spans="27:30" x14ac:dyDescent="0.25">
      <c r="AA184" s="345"/>
      <c r="AB184" s="345"/>
      <c r="AC184" s="345"/>
      <c r="AD184" s="345"/>
    </row>
    <row r="185" spans="27:30" x14ac:dyDescent="0.25">
      <c r="AA185" s="345"/>
      <c r="AB185" s="345"/>
      <c r="AC185" s="345"/>
      <c r="AD185" s="345"/>
    </row>
    <row r="186" spans="27:30" x14ac:dyDescent="0.25">
      <c r="AA186" s="345"/>
      <c r="AB186" s="345"/>
      <c r="AC186" s="345"/>
      <c r="AD186" s="345"/>
    </row>
    <row r="187" spans="27:30" x14ac:dyDescent="0.25">
      <c r="AA187" s="345"/>
      <c r="AB187" s="345"/>
      <c r="AC187" s="345"/>
      <c r="AD187" s="345"/>
    </row>
    <row r="188" spans="27:30" x14ac:dyDescent="0.25">
      <c r="AA188" s="345"/>
      <c r="AB188" s="345"/>
      <c r="AC188" s="345"/>
      <c r="AD188" s="345"/>
    </row>
    <row r="189" spans="27:30" x14ac:dyDescent="0.25">
      <c r="AA189" s="345"/>
      <c r="AB189" s="345"/>
      <c r="AC189" s="345"/>
      <c r="AD189" s="345"/>
    </row>
    <row r="190" spans="27:30" x14ac:dyDescent="0.25">
      <c r="AA190" s="345"/>
      <c r="AB190" s="345"/>
      <c r="AC190" s="345"/>
      <c r="AD190" s="345"/>
    </row>
    <row r="191" spans="27:30" x14ac:dyDescent="0.25">
      <c r="AA191" s="345"/>
      <c r="AB191" s="345"/>
      <c r="AC191" s="345"/>
      <c r="AD191" s="345"/>
    </row>
    <row r="192" spans="27:30" x14ac:dyDescent="0.25">
      <c r="AA192" s="345"/>
      <c r="AB192" s="345"/>
      <c r="AC192" s="345"/>
      <c r="AD192" s="345"/>
    </row>
    <row r="193" spans="27:30" x14ac:dyDescent="0.25">
      <c r="AA193" s="345"/>
      <c r="AB193" s="345"/>
      <c r="AC193" s="345"/>
      <c r="AD193" s="345"/>
    </row>
    <row r="194" spans="27:30" x14ac:dyDescent="0.25">
      <c r="AA194" s="345"/>
      <c r="AB194" s="345"/>
      <c r="AC194" s="345"/>
      <c r="AD194" s="345"/>
    </row>
    <row r="195" spans="27:30" x14ac:dyDescent="0.25">
      <c r="AA195" s="345"/>
      <c r="AB195" s="345"/>
      <c r="AC195" s="345"/>
      <c r="AD195" s="345"/>
    </row>
    <row r="196" spans="27:30" x14ac:dyDescent="0.25">
      <c r="AA196" s="345"/>
      <c r="AB196" s="345"/>
      <c r="AC196" s="345"/>
      <c r="AD196" s="345"/>
    </row>
    <row r="197" spans="27:30" x14ac:dyDescent="0.25">
      <c r="AA197" s="345"/>
      <c r="AB197" s="345"/>
      <c r="AC197" s="345"/>
      <c r="AD197" s="345"/>
    </row>
    <row r="198" spans="27:30" x14ac:dyDescent="0.25">
      <c r="AA198" s="345"/>
      <c r="AB198" s="345"/>
      <c r="AC198" s="345"/>
      <c r="AD198" s="345"/>
    </row>
    <row r="199" spans="27:30" x14ac:dyDescent="0.25">
      <c r="AA199" s="345"/>
      <c r="AB199" s="345"/>
      <c r="AC199" s="345"/>
      <c r="AD199" s="345"/>
    </row>
    <row r="200" spans="27:30" x14ac:dyDescent="0.25">
      <c r="AA200" s="345"/>
      <c r="AB200" s="345"/>
      <c r="AC200" s="345"/>
      <c r="AD200" s="345"/>
    </row>
    <row r="201" spans="27:30" x14ac:dyDescent="0.25">
      <c r="AA201" s="345"/>
      <c r="AB201" s="345"/>
      <c r="AC201" s="345"/>
      <c r="AD201" s="345"/>
    </row>
    <row r="202" spans="27:30" x14ac:dyDescent="0.25">
      <c r="AA202" s="345"/>
      <c r="AB202" s="345"/>
      <c r="AC202" s="345"/>
      <c r="AD202" s="345"/>
    </row>
    <row r="203" spans="27:30" x14ac:dyDescent="0.25">
      <c r="AA203" s="345"/>
      <c r="AB203" s="345"/>
      <c r="AC203" s="345"/>
      <c r="AD203" s="345"/>
    </row>
    <row r="204" spans="27:30" x14ac:dyDescent="0.25">
      <c r="AA204" s="345"/>
      <c r="AB204" s="345"/>
      <c r="AC204" s="345"/>
      <c r="AD204" s="345"/>
    </row>
    <row r="205" spans="27:30" x14ac:dyDescent="0.25">
      <c r="AA205" s="345"/>
      <c r="AB205" s="345"/>
      <c r="AC205" s="345"/>
      <c r="AD205" s="345"/>
    </row>
    <row r="206" spans="27:30" x14ac:dyDescent="0.25">
      <c r="AA206" s="345"/>
      <c r="AB206" s="345"/>
      <c r="AC206" s="345"/>
      <c r="AD206" s="345"/>
    </row>
    <row r="207" spans="27:30" x14ac:dyDescent="0.25">
      <c r="AA207" s="345"/>
      <c r="AB207" s="345"/>
      <c r="AC207" s="345"/>
      <c r="AD207" s="345"/>
    </row>
    <row r="208" spans="27:30" x14ac:dyDescent="0.25">
      <c r="AA208" s="345"/>
      <c r="AB208" s="345"/>
      <c r="AC208" s="345"/>
      <c r="AD208" s="345"/>
    </row>
    <row r="209" spans="27:30" x14ac:dyDescent="0.25">
      <c r="AA209" s="345"/>
      <c r="AB209" s="345"/>
      <c r="AC209" s="345"/>
      <c r="AD209" s="345"/>
    </row>
    <row r="210" spans="27:30" x14ac:dyDescent="0.25">
      <c r="AA210" s="345"/>
      <c r="AB210" s="345"/>
      <c r="AC210" s="345"/>
      <c r="AD210" s="345"/>
    </row>
    <row r="211" spans="27:30" x14ac:dyDescent="0.25">
      <c r="AA211" s="345"/>
      <c r="AB211" s="345"/>
      <c r="AC211" s="345"/>
      <c r="AD211" s="345"/>
    </row>
    <row r="212" spans="27:30" x14ac:dyDescent="0.25">
      <c r="AA212" s="345"/>
      <c r="AB212" s="345"/>
      <c r="AC212" s="345"/>
      <c r="AD212" s="345"/>
    </row>
    <row r="213" spans="27:30" x14ac:dyDescent="0.25">
      <c r="AA213" s="345"/>
      <c r="AB213" s="345"/>
      <c r="AC213" s="345"/>
      <c r="AD213" s="345"/>
    </row>
    <row r="214" spans="27:30" x14ac:dyDescent="0.25">
      <c r="AA214" s="345"/>
      <c r="AB214" s="345"/>
      <c r="AC214" s="345"/>
      <c r="AD214" s="345"/>
    </row>
    <row r="215" spans="27:30" x14ac:dyDescent="0.25">
      <c r="AA215" s="345"/>
      <c r="AB215" s="345"/>
      <c r="AC215" s="345"/>
      <c r="AD215" s="345"/>
    </row>
    <row r="216" spans="27:30" x14ac:dyDescent="0.25">
      <c r="AA216" s="345"/>
      <c r="AB216" s="345"/>
      <c r="AC216" s="345"/>
      <c r="AD216" s="345"/>
    </row>
    <row r="217" spans="27:30" x14ac:dyDescent="0.25">
      <c r="AA217" s="345"/>
      <c r="AB217" s="345"/>
      <c r="AC217" s="345"/>
      <c r="AD217" s="345"/>
    </row>
    <row r="218" spans="27:30" x14ac:dyDescent="0.25">
      <c r="AA218" s="345"/>
      <c r="AB218" s="345"/>
      <c r="AC218" s="345"/>
      <c r="AD218" s="345"/>
    </row>
    <row r="219" spans="27:30" x14ac:dyDescent="0.25">
      <c r="AA219" s="345"/>
      <c r="AB219" s="345"/>
      <c r="AC219" s="345"/>
      <c r="AD219" s="345"/>
    </row>
    <row r="220" spans="27:30" x14ac:dyDescent="0.25">
      <c r="AA220" s="345"/>
      <c r="AB220" s="345"/>
      <c r="AC220" s="345"/>
      <c r="AD220" s="345"/>
    </row>
    <row r="221" spans="27:30" x14ac:dyDescent="0.25">
      <c r="AA221" s="345"/>
      <c r="AB221" s="345"/>
      <c r="AC221" s="345"/>
      <c r="AD221" s="345"/>
    </row>
    <row r="222" spans="27:30" x14ac:dyDescent="0.25">
      <c r="AA222" s="345"/>
      <c r="AB222" s="345"/>
      <c r="AC222" s="345"/>
      <c r="AD222" s="345"/>
    </row>
    <row r="223" spans="27:30" x14ac:dyDescent="0.25">
      <c r="AA223" s="345"/>
      <c r="AB223" s="345"/>
      <c r="AC223" s="345"/>
      <c r="AD223" s="345"/>
    </row>
    <row r="224" spans="27:30" x14ac:dyDescent="0.25">
      <c r="AA224" s="345"/>
      <c r="AB224" s="345"/>
      <c r="AC224" s="345"/>
      <c r="AD224" s="345"/>
    </row>
    <row r="225" spans="27:30" x14ac:dyDescent="0.25">
      <c r="AA225" s="345"/>
      <c r="AB225" s="345"/>
      <c r="AC225" s="345"/>
      <c r="AD225" s="345"/>
    </row>
    <row r="226" spans="27:30" x14ac:dyDescent="0.25">
      <c r="AA226" s="345"/>
      <c r="AB226" s="345"/>
      <c r="AC226" s="345"/>
      <c r="AD226" s="345"/>
    </row>
    <row r="227" spans="27:30" x14ac:dyDescent="0.25">
      <c r="AA227" s="345"/>
      <c r="AB227" s="345"/>
      <c r="AC227" s="345"/>
      <c r="AD227" s="345"/>
    </row>
    <row r="228" spans="27:30" x14ac:dyDescent="0.25">
      <c r="AA228" s="345"/>
      <c r="AB228" s="345"/>
      <c r="AC228" s="345"/>
      <c r="AD228" s="345"/>
    </row>
    <row r="229" spans="27:30" x14ac:dyDescent="0.25">
      <c r="AA229" s="345"/>
      <c r="AB229" s="345"/>
      <c r="AC229" s="345"/>
      <c r="AD229" s="345"/>
    </row>
    <row r="230" spans="27:30" x14ac:dyDescent="0.25">
      <c r="AA230" s="345"/>
      <c r="AB230" s="345"/>
      <c r="AC230" s="345"/>
      <c r="AD230" s="345"/>
    </row>
    <row r="231" spans="27:30" x14ac:dyDescent="0.25">
      <c r="AA231" s="345"/>
      <c r="AB231" s="345"/>
      <c r="AC231" s="345"/>
      <c r="AD231" s="345"/>
    </row>
    <row r="232" spans="27:30" x14ac:dyDescent="0.25">
      <c r="AA232" s="345"/>
      <c r="AB232" s="345"/>
      <c r="AC232" s="345"/>
      <c r="AD232" s="345"/>
    </row>
    <row r="233" spans="27:30" x14ac:dyDescent="0.25">
      <c r="AA233" s="345"/>
      <c r="AB233" s="345"/>
      <c r="AC233" s="345"/>
      <c r="AD233" s="345"/>
    </row>
    <row r="234" spans="27:30" x14ac:dyDescent="0.25">
      <c r="AA234" s="345"/>
      <c r="AB234" s="345"/>
      <c r="AC234" s="345"/>
      <c r="AD234" s="345"/>
    </row>
    <row r="235" spans="27:30" x14ac:dyDescent="0.25">
      <c r="AA235" s="345"/>
      <c r="AB235" s="345"/>
      <c r="AC235" s="345"/>
      <c r="AD235" s="345"/>
    </row>
    <row r="236" spans="27:30" x14ac:dyDescent="0.25">
      <c r="AA236" s="345"/>
      <c r="AB236" s="345"/>
      <c r="AC236" s="345"/>
      <c r="AD236" s="345"/>
    </row>
    <row r="237" spans="27:30" x14ac:dyDescent="0.25">
      <c r="AA237" s="345"/>
      <c r="AB237" s="345"/>
      <c r="AC237" s="345"/>
      <c r="AD237" s="345"/>
    </row>
    <row r="238" spans="27:30" x14ac:dyDescent="0.25">
      <c r="AA238" s="345"/>
      <c r="AB238" s="345"/>
      <c r="AC238" s="345"/>
      <c r="AD238" s="345"/>
    </row>
    <row r="239" spans="27:30" x14ac:dyDescent="0.25">
      <c r="AA239" s="345"/>
      <c r="AB239" s="345"/>
      <c r="AC239" s="345"/>
      <c r="AD239" s="345"/>
    </row>
    <row r="240" spans="27:30" x14ac:dyDescent="0.25">
      <c r="AA240" s="345"/>
      <c r="AB240" s="345"/>
      <c r="AC240" s="345"/>
      <c r="AD240" s="345"/>
    </row>
    <row r="241" spans="27:30" x14ac:dyDescent="0.25">
      <c r="AA241" s="345"/>
      <c r="AB241" s="345"/>
      <c r="AC241" s="345"/>
      <c r="AD241" s="345"/>
    </row>
    <row r="242" spans="27:30" x14ac:dyDescent="0.25">
      <c r="AA242" s="345"/>
      <c r="AB242" s="345"/>
      <c r="AC242" s="345"/>
      <c r="AD242" s="345"/>
    </row>
    <row r="243" spans="27:30" x14ac:dyDescent="0.25">
      <c r="AA243" s="345"/>
      <c r="AB243" s="345"/>
      <c r="AC243" s="345"/>
      <c r="AD243" s="345"/>
    </row>
    <row r="244" spans="27:30" x14ac:dyDescent="0.25">
      <c r="AA244" s="345"/>
      <c r="AB244" s="345"/>
      <c r="AC244" s="345"/>
      <c r="AD244" s="345"/>
    </row>
    <row r="245" spans="27:30" x14ac:dyDescent="0.25">
      <c r="AA245" s="345"/>
      <c r="AB245" s="345"/>
      <c r="AC245" s="345"/>
      <c r="AD245" s="345"/>
    </row>
    <row r="246" spans="27:30" x14ac:dyDescent="0.25">
      <c r="AA246" s="345"/>
      <c r="AB246" s="345"/>
      <c r="AC246" s="345"/>
      <c r="AD246" s="345"/>
    </row>
    <row r="247" spans="27:30" x14ac:dyDescent="0.25">
      <c r="AA247" s="345"/>
      <c r="AB247" s="345"/>
      <c r="AC247" s="345"/>
      <c r="AD247" s="345"/>
    </row>
    <row r="248" spans="27:30" x14ac:dyDescent="0.25">
      <c r="AA248" s="345"/>
      <c r="AB248" s="345"/>
      <c r="AC248" s="345"/>
      <c r="AD248" s="345"/>
    </row>
    <row r="249" spans="27:30" x14ac:dyDescent="0.25">
      <c r="AA249" s="345"/>
      <c r="AB249" s="345"/>
      <c r="AC249" s="345"/>
      <c r="AD249" s="345"/>
    </row>
    <row r="250" spans="27:30" x14ac:dyDescent="0.25">
      <c r="AA250" s="345"/>
      <c r="AB250" s="345"/>
      <c r="AC250" s="345"/>
      <c r="AD250" s="345"/>
    </row>
    <row r="251" spans="27:30" x14ac:dyDescent="0.25">
      <c r="AA251" s="345"/>
      <c r="AB251" s="345"/>
      <c r="AC251" s="345"/>
      <c r="AD251" s="345"/>
    </row>
    <row r="252" spans="27:30" x14ac:dyDescent="0.25">
      <c r="AA252" s="345"/>
      <c r="AB252" s="345"/>
      <c r="AC252" s="345"/>
      <c r="AD252" s="345"/>
    </row>
    <row r="253" spans="27:30" x14ac:dyDescent="0.25">
      <c r="AA253" s="345"/>
      <c r="AB253" s="345"/>
      <c r="AC253" s="345"/>
      <c r="AD253" s="345"/>
    </row>
    <row r="254" spans="27:30" x14ac:dyDescent="0.25">
      <c r="AA254" s="345"/>
      <c r="AB254" s="345"/>
      <c r="AC254" s="345"/>
      <c r="AD254" s="345"/>
    </row>
    <row r="255" spans="27:30" x14ac:dyDescent="0.25">
      <c r="AA255" s="345"/>
      <c r="AB255" s="345"/>
      <c r="AC255" s="345"/>
      <c r="AD255" s="345"/>
    </row>
    <row r="256" spans="27:30" x14ac:dyDescent="0.25">
      <c r="AA256" s="345"/>
      <c r="AB256" s="345"/>
      <c r="AC256" s="345"/>
      <c r="AD256" s="345"/>
    </row>
    <row r="257" spans="27:30" x14ac:dyDescent="0.25">
      <c r="AA257" s="345"/>
      <c r="AB257" s="345"/>
      <c r="AC257" s="345"/>
      <c r="AD257" s="345"/>
    </row>
    <row r="258" spans="27:30" x14ac:dyDescent="0.25">
      <c r="AA258" s="345"/>
      <c r="AB258" s="345"/>
      <c r="AC258" s="345"/>
      <c r="AD258" s="345"/>
    </row>
    <row r="259" spans="27:30" x14ac:dyDescent="0.25">
      <c r="AA259" s="345"/>
      <c r="AB259" s="345"/>
      <c r="AC259" s="345"/>
      <c r="AD259" s="345"/>
    </row>
    <row r="260" spans="27:30" x14ac:dyDescent="0.25">
      <c r="AA260" s="345"/>
      <c r="AB260" s="345"/>
      <c r="AC260" s="345"/>
      <c r="AD260" s="345"/>
    </row>
    <row r="261" spans="27:30" x14ac:dyDescent="0.25">
      <c r="AA261" s="345"/>
      <c r="AB261" s="345"/>
      <c r="AC261" s="345"/>
      <c r="AD261" s="345"/>
    </row>
    <row r="262" spans="27:30" x14ac:dyDescent="0.25">
      <c r="AA262" s="345"/>
      <c r="AB262" s="345"/>
      <c r="AC262" s="345"/>
      <c r="AD262" s="345"/>
    </row>
    <row r="263" spans="27:30" x14ac:dyDescent="0.25">
      <c r="AA263" s="345"/>
      <c r="AB263" s="345"/>
      <c r="AC263" s="345"/>
      <c r="AD263" s="345"/>
    </row>
    <row r="264" spans="27:30" x14ac:dyDescent="0.25">
      <c r="AA264" s="345"/>
      <c r="AB264" s="345"/>
      <c r="AC264" s="345"/>
      <c r="AD264" s="345"/>
    </row>
    <row r="265" spans="27:30" x14ac:dyDescent="0.25">
      <c r="AA265" s="345"/>
      <c r="AB265" s="345"/>
      <c r="AC265" s="345"/>
      <c r="AD265" s="345"/>
    </row>
    <row r="266" spans="27:30" x14ac:dyDescent="0.25">
      <c r="AA266" s="345"/>
      <c r="AB266" s="345"/>
      <c r="AC266" s="345"/>
      <c r="AD266" s="345"/>
    </row>
    <row r="267" spans="27:30" x14ac:dyDescent="0.25">
      <c r="AA267" s="345"/>
      <c r="AB267" s="345"/>
      <c r="AC267" s="345"/>
      <c r="AD267" s="345"/>
    </row>
    <row r="268" spans="27:30" x14ac:dyDescent="0.25">
      <c r="AA268" s="345"/>
      <c r="AB268" s="345"/>
      <c r="AC268" s="345"/>
      <c r="AD268" s="345"/>
    </row>
    <row r="269" spans="27:30" x14ac:dyDescent="0.25">
      <c r="AA269" s="345"/>
      <c r="AB269" s="345"/>
      <c r="AC269" s="345"/>
      <c r="AD269" s="345"/>
    </row>
    <row r="270" spans="27:30" x14ac:dyDescent="0.25">
      <c r="AA270" s="345"/>
      <c r="AB270" s="345"/>
      <c r="AC270" s="345"/>
      <c r="AD270" s="345"/>
    </row>
    <row r="271" spans="27:30" x14ac:dyDescent="0.25">
      <c r="AA271" s="345"/>
      <c r="AB271" s="345"/>
      <c r="AC271" s="345"/>
      <c r="AD271" s="345"/>
    </row>
  </sheetData>
  <sheetProtection selectLockedCells="1"/>
  <mergeCells count="41">
    <mergeCell ref="A109:A117"/>
    <mergeCell ref="A86:A96"/>
    <mergeCell ref="T97:V97"/>
    <mergeCell ref="W97:Y97"/>
    <mergeCell ref="Z97:AB97"/>
    <mergeCell ref="AC97:AE97"/>
    <mergeCell ref="A99:A107"/>
    <mergeCell ref="X75:Y75"/>
    <mergeCell ref="Z75:AA75"/>
    <mergeCell ref="A77:A80"/>
    <mergeCell ref="G83:O84"/>
    <mergeCell ref="C84:D84"/>
    <mergeCell ref="P84:R84"/>
    <mergeCell ref="S84:U84"/>
    <mergeCell ref="V84:X84"/>
    <mergeCell ref="Y84:AA84"/>
    <mergeCell ref="V75:W75"/>
    <mergeCell ref="A50:A59"/>
    <mergeCell ref="A61:A71"/>
    <mergeCell ref="G74:O75"/>
    <mergeCell ref="C75:D75"/>
    <mergeCell ref="T75:U75"/>
    <mergeCell ref="V14:X14"/>
    <mergeCell ref="Y14:AA14"/>
    <mergeCell ref="A16:A18"/>
    <mergeCell ref="A20:A27"/>
    <mergeCell ref="A29:A37"/>
    <mergeCell ref="P14:R14"/>
    <mergeCell ref="S14:U14"/>
    <mergeCell ref="A39:A48"/>
    <mergeCell ref="D4:E4"/>
    <mergeCell ref="G4:J4"/>
    <mergeCell ref="G13:O14"/>
    <mergeCell ref="C14:D14"/>
    <mergeCell ref="D3:E3"/>
    <mergeCell ref="G3:J3"/>
    <mergeCell ref="A1:B2"/>
    <mergeCell ref="D1:E1"/>
    <mergeCell ref="G1:J1"/>
    <mergeCell ref="D2:E2"/>
    <mergeCell ref="G2:J2"/>
  </mergeCells>
  <conditionalFormatting sqref="G77:G79">
    <cfRule type="expression" dxfId="187" priority="242">
      <formula>"---"</formula>
    </cfRule>
  </conditionalFormatting>
  <conditionalFormatting sqref="G108:I108">
    <cfRule type="expression" dxfId="186" priority="241">
      <formula>"---"</formula>
    </cfRule>
  </conditionalFormatting>
  <conditionalFormatting sqref="G80">
    <cfRule type="expression" dxfId="185" priority="240">
      <formula>"---"</formula>
    </cfRule>
  </conditionalFormatting>
  <conditionalFormatting sqref="G112:G117">
    <cfRule type="expression" dxfId="184" priority="236">
      <formula>"---"</formula>
    </cfRule>
  </conditionalFormatting>
  <conditionalFormatting sqref="G97:I97 G98:G101 G86:G96">
    <cfRule type="expression" dxfId="183" priority="239">
      <formula>"---"</formula>
    </cfRule>
  </conditionalFormatting>
  <conditionalFormatting sqref="G109:G111">
    <cfRule type="expression" dxfId="182" priority="238">
      <formula>"---"</formula>
    </cfRule>
  </conditionalFormatting>
  <conditionalFormatting sqref="G102:G107">
    <cfRule type="expression" dxfId="181" priority="237">
      <formula>"---"</formula>
    </cfRule>
  </conditionalFormatting>
  <conditionalFormatting sqref="G120:I120">
    <cfRule type="expression" dxfId="180" priority="235">
      <formula>"---"</formula>
    </cfRule>
  </conditionalFormatting>
  <conditionalFormatting sqref="Q34">
    <cfRule type="expression" dxfId="179" priority="234">
      <formula>"---"</formula>
    </cfRule>
  </conditionalFormatting>
  <conditionalFormatting sqref="Q42">
    <cfRule type="expression" dxfId="178" priority="233">
      <formula>"---"</formula>
    </cfRule>
  </conditionalFormatting>
  <conditionalFormatting sqref="P14:AB71 T75:AA80 P84:AB96 T97:AF117 AC96:AF96">
    <cfRule type="expression" dxfId="177" priority="243">
      <formula>IF($E$6="Yes", TRUE,FALSE)</formula>
    </cfRule>
  </conditionalFormatting>
  <conditionalFormatting sqref="AB98">
    <cfRule type="expression" dxfId="176" priority="232">
      <formula>IF($E$6="Yes", TRUE,FALSE)</formula>
    </cfRule>
  </conditionalFormatting>
  <conditionalFormatting sqref="AE98">
    <cfRule type="expression" dxfId="175" priority="231">
      <formula>IF($E$6="Yes", TRUE,FALSE)</formula>
    </cfRule>
  </conditionalFormatting>
  <conditionalFormatting sqref="V99:V107">
    <cfRule type="expression" dxfId="174" priority="230">
      <formula>IF($E$6="Yes", TRUE,FALSE)</formula>
    </cfRule>
  </conditionalFormatting>
  <conditionalFormatting sqref="AB99:AB107">
    <cfRule type="expression" dxfId="173" priority="229">
      <formula>IF($E$6="Yes", TRUE,FALSE)</formula>
    </cfRule>
  </conditionalFormatting>
  <conditionalFormatting sqref="V109:V117">
    <cfRule type="expression" dxfId="172" priority="228">
      <formula>IF($E$6="Yes", TRUE,FALSE)</formula>
    </cfRule>
  </conditionalFormatting>
  <conditionalFormatting sqref="AB109:AB117">
    <cfRule type="expression" dxfId="171" priority="227">
      <formula>IF($E$6="Yes", TRUE,FALSE)</formula>
    </cfRule>
  </conditionalFormatting>
  <conditionalFormatting sqref="H16">
    <cfRule type="expression" dxfId="170" priority="226">
      <formula>"---"</formula>
    </cfRule>
  </conditionalFormatting>
  <conditionalFormatting sqref="H27">
    <cfRule type="expression" dxfId="169" priority="222">
      <formula>"---"</formula>
    </cfRule>
  </conditionalFormatting>
  <conditionalFormatting sqref="H17">
    <cfRule type="expression" dxfId="168" priority="221">
      <formula>"---"</formula>
    </cfRule>
  </conditionalFormatting>
  <conditionalFormatting sqref="H20">
    <cfRule type="expression" dxfId="167" priority="220">
      <formula>"---"</formula>
    </cfRule>
  </conditionalFormatting>
  <conditionalFormatting sqref="H21">
    <cfRule type="expression" dxfId="166" priority="217">
      <formula>"---"</formula>
    </cfRule>
  </conditionalFormatting>
  <conditionalFormatting sqref="H22">
    <cfRule type="expression" dxfId="165" priority="215">
      <formula>"---"</formula>
    </cfRule>
  </conditionalFormatting>
  <conditionalFormatting sqref="H23">
    <cfRule type="expression" dxfId="164" priority="213">
      <formula>"---"</formula>
    </cfRule>
  </conditionalFormatting>
  <conditionalFormatting sqref="H24">
    <cfRule type="expression" dxfId="163" priority="211">
      <formula>"---"</formula>
    </cfRule>
  </conditionalFormatting>
  <conditionalFormatting sqref="H25">
    <cfRule type="expression" dxfId="162" priority="209">
      <formula>"---"</formula>
    </cfRule>
  </conditionalFormatting>
  <conditionalFormatting sqref="H26">
    <cfRule type="expression" dxfId="161" priority="207">
      <formula>"---"</formula>
    </cfRule>
  </conditionalFormatting>
  <conditionalFormatting sqref="H29">
    <cfRule type="expression" dxfId="160" priority="206">
      <formula>"---"</formula>
    </cfRule>
  </conditionalFormatting>
  <conditionalFormatting sqref="H30">
    <cfRule type="expression" dxfId="159" priority="203">
      <formula>"---"</formula>
    </cfRule>
  </conditionalFormatting>
  <conditionalFormatting sqref="H31">
    <cfRule type="expression" dxfId="158" priority="201">
      <formula>"---"</formula>
    </cfRule>
  </conditionalFormatting>
  <conditionalFormatting sqref="H32">
    <cfRule type="expression" dxfId="157" priority="199">
      <formula>"---"</formula>
    </cfRule>
  </conditionalFormatting>
  <conditionalFormatting sqref="H33">
    <cfRule type="expression" dxfId="156" priority="197">
      <formula>"---"</formula>
    </cfRule>
  </conditionalFormatting>
  <conditionalFormatting sqref="H34">
    <cfRule type="expression" dxfId="155" priority="195">
      <formula>"---"</formula>
    </cfRule>
  </conditionalFormatting>
  <conditionalFormatting sqref="H35">
    <cfRule type="expression" dxfId="154" priority="193">
      <formula>"---"</formula>
    </cfRule>
  </conditionalFormatting>
  <conditionalFormatting sqref="H37">
    <cfRule type="expression" dxfId="153" priority="191">
      <formula>"---"</formula>
    </cfRule>
  </conditionalFormatting>
  <conditionalFormatting sqref="H36">
    <cfRule type="expression" dxfId="152" priority="189">
      <formula>"---"</formula>
    </cfRule>
  </conditionalFormatting>
  <conditionalFormatting sqref="H39">
    <cfRule type="expression" dxfId="151" priority="188">
      <formula>"---"</formula>
    </cfRule>
  </conditionalFormatting>
  <conditionalFormatting sqref="H40">
    <cfRule type="expression" dxfId="150" priority="185">
      <formula>"---"</formula>
    </cfRule>
  </conditionalFormatting>
  <conditionalFormatting sqref="H41">
    <cfRule type="expression" dxfId="149" priority="183">
      <formula>"---"</formula>
    </cfRule>
  </conditionalFormatting>
  <conditionalFormatting sqref="H42">
    <cfRule type="expression" dxfId="148" priority="181">
      <formula>"---"</formula>
    </cfRule>
  </conditionalFormatting>
  <conditionalFormatting sqref="H43">
    <cfRule type="expression" dxfId="147" priority="179">
      <formula>"---"</formula>
    </cfRule>
  </conditionalFormatting>
  <conditionalFormatting sqref="H44">
    <cfRule type="expression" dxfId="146" priority="177">
      <formula>"---"</formula>
    </cfRule>
  </conditionalFormatting>
  <conditionalFormatting sqref="H45">
    <cfRule type="expression" dxfId="145" priority="175">
      <formula>"---"</formula>
    </cfRule>
  </conditionalFormatting>
  <conditionalFormatting sqref="H78">
    <cfRule type="expression" dxfId="144" priority="117">
      <formula>"---"</formula>
    </cfRule>
  </conditionalFormatting>
  <conditionalFormatting sqref="H46">
    <cfRule type="expression" dxfId="143" priority="171">
      <formula>"---"</formula>
    </cfRule>
  </conditionalFormatting>
  <conditionalFormatting sqref="H96">
    <cfRule type="expression" dxfId="142" priority="113">
      <formula>"---"</formula>
    </cfRule>
  </conditionalFormatting>
  <conditionalFormatting sqref="H48">
    <cfRule type="expression" dxfId="141" priority="167">
      <formula>"---"</formula>
    </cfRule>
  </conditionalFormatting>
  <conditionalFormatting sqref="H47">
    <cfRule type="expression" dxfId="140" priority="165">
      <formula>"---"</formula>
    </cfRule>
  </conditionalFormatting>
  <conditionalFormatting sqref="H50">
    <cfRule type="expression" dxfId="139" priority="164">
      <formula>"---"</formula>
    </cfRule>
  </conditionalFormatting>
  <conditionalFormatting sqref="H51">
    <cfRule type="expression" dxfId="138" priority="161">
      <formula>"---"</formula>
    </cfRule>
  </conditionalFormatting>
  <conditionalFormatting sqref="H52">
    <cfRule type="expression" dxfId="137" priority="159">
      <formula>"---"</formula>
    </cfRule>
  </conditionalFormatting>
  <conditionalFormatting sqref="H53">
    <cfRule type="expression" dxfId="136" priority="157">
      <formula>"---"</formula>
    </cfRule>
  </conditionalFormatting>
  <conditionalFormatting sqref="H54">
    <cfRule type="expression" dxfId="135" priority="155">
      <formula>"---"</formula>
    </cfRule>
  </conditionalFormatting>
  <conditionalFormatting sqref="H55">
    <cfRule type="expression" dxfId="134" priority="153">
      <formula>"---"</formula>
    </cfRule>
  </conditionalFormatting>
  <conditionalFormatting sqref="H56">
    <cfRule type="expression" dxfId="133" priority="151">
      <formula>"---"</formula>
    </cfRule>
  </conditionalFormatting>
  <conditionalFormatting sqref="H57">
    <cfRule type="expression" dxfId="132" priority="149">
      <formula>"---"</formula>
    </cfRule>
  </conditionalFormatting>
  <conditionalFormatting sqref="H59">
    <cfRule type="expression" dxfId="131" priority="147">
      <formula>"---"</formula>
    </cfRule>
  </conditionalFormatting>
  <conditionalFormatting sqref="H58">
    <cfRule type="expression" dxfId="130" priority="145">
      <formula>"---"</formula>
    </cfRule>
  </conditionalFormatting>
  <conditionalFormatting sqref="H95">
    <cfRule type="expression" dxfId="129" priority="115">
      <formula>"---"</formula>
    </cfRule>
  </conditionalFormatting>
  <conditionalFormatting sqref="H77">
    <cfRule type="expression" dxfId="128" priority="120">
      <formula>"---"</formula>
    </cfRule>
  </conditionalFormatting>
  <conditionalFormatting sqref="H104">
    <cfRule type="expression" dxfId="127" priority="79">
      <formula>"---"</formula>
    </cfRule>
  </conditionalFormatting>
  <conditionalFormatting sqref="H105">
    <cfRule type="expression" dxfId="126" priority="77">
      <formula>"---"</formula>
    </cfRule>
  </conditionalFormatting>
  <conditionalFormatting sqref="H18">
    <cfRule type="expression" dxfId="125" priority="111">
      <formula>"---"</formula>
    </cfRule>
  </conditionalFormatting>
  <conditionalFormatting sqref="H86">
    <cfRule type="expression" dxfId="124" priority="110">
      <formula>"---"</formula>
    </cfRule>
  </conditionalFormatting>
  <conditionalFormatting sqref="H87">
    <cfRule type="expression" dxfId="123" priority="107">
      <formula>"---"</formula>
    </cfRule>
  </conditionalFormatting>
  <conditionalFormatting sqref="H88">
    <cfRule type="expression" dxfId="122" priority="105">
      <formula>"---"</formula>
    </cfRule>
  </conditionalFormatting>
  <conditionalFormatting sqref="H89">
    <cfRule type="expression" dxfId="121" priority="103">
      <formula>"---"</formula>
    </cfRule>
  </conditionalFormatting>
  <conditionalFormatting sqref="H90">
    <cfRule type="expression" dxfId="120" priority="101">
      <formula>"---"</formula>
    </cfRule>
  </conditionalFormatting>
  <conditionalFormatting sqref="H91">
    <cfRule type="expression" dxfId="119" priority="99">
      <formula>"---"</formula>
    </cfRule>
  </conditionalFormatting>
  <conditionalFormatting sqref="H92">
    <cfRule type="expression" dxfId="118" priority="97">
      <formula>"---"</formula>
    </cfRule>
  </conditionalFormatting>
  <conditionalFormatting sqref="H93">
    <cfRule type="expression" dxfId="117" priority="95">
      <formula>"---"</formula>
    </cfRule>
  </conditionalFormatting>
  <conditionalFormatting sqref="H94">
    <cfRule type="expression" dxfId="116" priority="93">
      <formula>"---"</formula>
    </cfRule>
  </conditionalFormatting>
  <conditionalFormatting sqref="H99">
    <cfRule type="expression" dxfId="115" priority="90">
      <formula>"---"</formula>
    </cfRule>
  </conditionalFormatting>
  <conditionalFormatting sqref="H100">
    <cfRule type="expression" dxfId="114" priority="87">
      <formula>"---"</formula>
    </cfRule>
  </conditionalFormatting>
  <conditionalFormatting sqref="H101">
    <cfRule type="expression" dxfId="113" priority="85">
      <formula>"---"</formula>
    </cfRule>
  </conditionalFormatting>
  <conditionalFormatting sqref="H102">
    <cfRule type="expression" dxfId="112" priority="83">
      <formula>"---"</formula>
    </cfRule>
  </conditionalFormatting>
  <conditionalFormatting sqref="H103">
    <cfRule type="expression" dxfId="111" priority="81">
      <formula>"---"</formula>
    </cfRule>
  </conditionalFormatting>
  <conditionalFormatting sqref="H107">
    <cfRule type="expression" dxfId="110" priority="71">
      <formula>"---"</formula>
    </cfRule>
  </conditionalFormatting>
  <conditionalFormatting sqref="H106">
    <cfRule type="expression" dxfId="109" priority="73">
      <formula>"---"</formula>
    </cfRule>
  </conditionalFormatting>
  <conditionalFormatting sqref="H117">
    <cfRule type="expression" dxfId="108" priority="67">
      <formula>"---"</formula>
    </cfRule>
  </conditionalFormatting>
  <conditionalFormatting sqref="H114">
    <cfRule type="expression" dxfId="107" priority="55">
      <formula>"---"</formula>
    </cfRule>
  </conditionalFormatting>
  <conditionalFormatting sqref="H115">
    <cfRule type="expression" dxfId="106" priority="53">
      <formula>"---"</formula>
    </cfRule>
  </conditionalFormatting>
  <conditionalFormatting sqref="H110">
    <cfRule type="expression" dxfId="105" priority="63">
      <formula>"---"</formula>
    </cfRule>
  </conditionalFormatting>
  <conditionalFormatting sqref="H111">
    <cfRule type="expression" dxfId="104" priority="61">
      <formula>"---"</formula>
    </cfRule>
  </conditionalFormatting>
  <conditionalFormatting sqref="H112">
    <cfRule type="expression" dxfId="103" priority="59">
      <formula>"---"</formula>
    </cfRule>
  </conditionalFormatting>
  <conditionalFormatting sqref="H113">
    <cfRule type="expression" dxfId="102" priority="57">
      <formula>"---"</formula>
    </cfRule>
  </conditionalFormatting>
  <conditionalFormatting sqref="H116">
    <cfRule type="expression" dxfId="101" priority="51">
      <formula>"---"</formula>
    </cfRule>
  </conditionalFormatting>
  <conditionalFormatting sqref="H109">
    <cfRule type="expression" dxfId="100" priority="50">
      <formula>"---"</formula>
    </cfRule>
  </conditionalFormatting>
  <conditionalFormatting sqref="H80">
    <cfRule type="expression" dxfId="99" priority="47">
      <formula>"---"</formula>
    </cfRule>
  </conditionalFormatting>
  <conditionalFormatting sqref="H79">
    <cfRule type="expression" dxfId="98" priority="45">
      <formula>"---"</formula>
    </cfRule>
  </conditionalFormatting>
  <conditionalFormatting sqref="I16:I18">
    <cfRule type="expression" dxfId="97" priority="21">
      <formula>ABS(I16)&gt;0.05</formula>
    </cfRule>
  </conditionalFormatting>
  <conditionalFormatting sqref="I20:I27">
    <cfRule type="expression" dxfId="96" priority="20">
      <formula>ABS(I20)&gt;0.05</formula>
    </cfRule>
  </conditionalFormatting>
  <conditionalFormatting sqref="I29:I37">
    <cfRule type="expression" dxfId="95" priority="19">
      <formula>ABS(I29)&gt;0.05</formula>
    </cfRule>
  </conditionalFormatting>
  <conditionalFormatting sqref="I39:I48">
    <cfRule type="expression" dxfId="94" priority="18">
      <formula>ABS(I39)&gt;0.05</formula>
    </cfRule>
  </conditionalFormatting>
  <conditionalFormatting sqref="I50:I59">
    <cfRule type="expression" dxfId="93" priority="17">
      <formula>ABS(I50)&gt;0.05</formula>
    </cfRule>
  </conditionalFormatting>
  <conditionalFormatting sqref="I61:I71">
    <cfRule type="expression" dxfId="92" priority="16">
      <formula>ABS(I61)&gt;0.05</formula>
    </cfRule>
  </conditionalFormatting>
  <conditionalFormatting sqref="I77:I80">
    <cfRule type="expression" dxfId="91" priority="15">
      <formula>ABS(I77)&gt;0.05</formula>
    </cfRule>
  </conditionalFormatting>
  <conditionalFormatting sqref="I86:I96">
    <cfRule type="expression" dxfId="90" priority="14">
      <formula>ABS(I86)&gt;0.05</formula>
    </cfRule>
  </conditionalFormatting>
  <conditionalFormatting sqref="I99:I107">
    <cfRule type="expression" dxfId="89" priority="13">
      <formula>ABS(I99)&gt;0.05</formula>
    </cfRule>
  </conditionalFormatting>
  <conditionalFormatting sqref="I109:I117">
    <cfRule type="expression" dxfId="88" priority="12">
      <formula>ABS(I109)&gt;0.05</formula>
    </cfRule>
  </conditionalFormatting>
  <conditionalFormatting sqref="H71">
    <cfRule type="expression" dxfId="87" priority="10">
      <formula>"---"</formula>
    </cfRule>
  </conditionalFormatting>
  <conditionalFormatting sqref="H70">
    <cfRule type="expression" dxfId="86" priority="11">
      <formula>"---"</formula>
    </cfRule>
  </conditionalFormatting>
  <conditionalFormatting sqref="H61">
    <cfRule type="expression" dxfId="85" priority="9">
      <formula>"---"</formula>
    </cfRule>
  </conditionalFormatting>
  <conditionalFormatting sqref="H62">
    <cfRule type="expression" dxfId="84" priority="8">
      <formula>"---"</formula>
    </cfRule>
  </conditionalFormatting>
  <conditionalFormatting sqref="H63">
    <cfRule type="expression" dxfId="83" priority="7">
      <formula>"---"</formula>
    </cfRule>
  </conditionalFormatting>
  <conditionalFormatting sqref="H64">
    <cfRule type="expression" dxfId="82" priority="6">
      <formula>"---"</formula>
    </cfRule>
  </conditionalFormatting>
  <conditionalFormatting sqref="H65">
    <cfRule type="expression" dxfId="81" priority="5">
      <formula>"---"</formula>
    </cfRule>
  </conditionalFormatting>
  <conditionalFormatting sqref="H66">
    <cfRule type="expression" dxfId="80" priority="4">
      <formula>"---"</formula>
    </cfRule>
  </conditionalFormatting>
  <conditionalFormatting sqref="H67">
    <cfRule type="expression" dxfId="79" priority="3">
      <formula>"---"</formula>
    </cfRule>
  </conditionalFormatting>
  <conditionalFormatting sqref="H68">
    <cfRule type="expression" dxfId="78" priority="2">
      <formula>"---"</formula>
    </cfRule>
  </conditionalFormatting>
  <conditionalFormatting sqref="H69">
    <cfRule type="expression" dxfId="77" priority="1">
      <formula>"---"</formula>
    </cfRule>
  </conditionalFormatting>
  <dataValidations disablePrompts="1" count="1">
    <dataValidation type="list" allowBlank="1" showInputMessage="1" showErrorMessage="1" sqref="E6" xr:uid="{00000000-0002-0000-0200-000000000000}">
      <formula1>"Yes, No"</formula1>
    </dataValidation>
  </dataValidations>
  <pageMargins left="0.7" right="0.7" top="0.75" bottom="0.75" header="0.3" footer="0.3"/>
  <pageSetup orientation="portrait" copies="2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T269"/>
  <sheetViews>
    <sheetView showGridLines="0" tabSelected="1" topLeftCell="A186" zoomScale="86" zoomScaleNormal="86" workbookViewId="0">
      <selection activeCell="A238" sqref="A238"/>
    </sheetView>
  </sheetViews>
  <sheetFormatPr defaultColWidth="9.140625" defaultRowHeight="15" x14ac:dyDescent="0.25"/>
  <cols>
    <col min="1" max="1" width="23.140625" style="263" customWidth="1"/>
    <col min="2" max="16384" width="9.140625" style="263"/>
  </cols>
  <sheetData>
    <row r="1" spans="1:11" x14ac:dyDescent="0.25">
      <c r="B1" s="852" t="s">
        <v>126</v>
      </c>
      <c r="C1" s="853"/>
      <c r="D1" s="853"/>
      <c r="E1" s="853"/>
      <c r="F1" s="853"/>
      <c r="G1" s="853"/>
      <c r="H1" s="853"/>
      <c r="I1" s="853"/>
      <c r="J1" s="853"/>
      <c r="K1" s="853"/>
    </row>
    <row r="2" spans="1:11" x14ac:dyDescent="0.25">
      <c r="B2" s="850" t="s">
        <v>130</v>
      </c>
      <c r="C2" s="850"/>
      <c r="D2" s="850"/>
      <c r="E2" s="850"/>
      <c r="F2" s="850"/>
      <c r="G2" s="850"/>
      <c r="H2" s="850"/>
      <c r="I2" s="850"/>
      <c r="J2" s="850"/>
      <c r="K2" s="850"/>
    </row>
    <row r="3" spans="1:11" x14ac:dyDescent="0.25">
      <c r="B3" s="265" t="s">
        <v>131</v>
      </c>
      <c r="C3" s="265"/>
      <c r="D3" s="265"/>
      <c r="E3" s="265"/>
      <c r="F3" s="265"/>
      <c r="G3" s="265"/>
      <c r="H3" s="265"/>
      <c r="I3" s="265"/>
      <c r="J3" s="265"/>
      <c r="K3" s="265"/>
    </row>
    <row r="4" spans="1:11" x14ac:dyDescent="0.25">
      <c r="B4" s="862" t="s">
        <v>132</v>
      </c>
      <c r="C4" s="862"/>
      <c r="D4" s="862"/>
      <c r="E4" s="862"/>
      <c r="F4" s="862"/>
      <c r="G4" s="862"/>
      <c r="H4" s="862"/>
      <c r="I4" s="862"/>
      <c r="J4" s="862"/>
      <c r="K4" s="862"/>
    </row>
    <row r="5" spans="1:11" ht="124.5" customHeight="1" x14ac:dyDescent="0.3">
      <c r="A5" s="655">
        <v>300</v>
      </c>
    </row>
    <row r="6" spans="1:11" ht="15.75" thickBot="1" x14ac:dyDescent="0.3">
      <c r="A6" s="783"/>
    </row>
    <row r="7" spans="1:11" ht="15.75" thickBot="1" x14ac:dyDescent="0.3">
      <c r="A7" s="654">
        <v>50</v>
      </c>
    </row>
    <row r="38" spans="1:1" ht="18.75" x14ac:dyDescent="0.3">
      <c r="A38" s="655">
        <v>340</v>
      </c>
    </row>
    <row r="39" spans="1:1" ht="15.75" thickBot="1" x14ac:dyDescent="0.3">
      <c r="A39" s="783"/>
    </row>
    <row r="40" spans="1:1" ht="15.75" thickBot="1" x14ac:dyDescent="0.3">
      <c r="A40" s="654" t="s">
        <v>108</v>
      </c>
    </row>
    <row r="71" spans="1:1" ht="18.75" x14ac:dyDescent="0.3">
      <c r="A71" s="655">
        <v>350</v>
      </c>
    </row>
    <row r="72" spans="1:1" ht="15.75" thickBot="1" x14ac:dyDescent="0.3">
      <c r="A72" s="783"/>
    </row>
    <row r="73" spans="1:1" ht="15.75" thickBot="1" x14ac:dyDescent="0.3">
      <c r="A73" s="654">
        <v>0</v>
      </c>
    </row>
    <row r="75" spans="1:1" x14ac:dyDescent="0.25">
      <c r="A75" s="824" t="str">
        <f>IF(A73='Round B1'!T38, "No Data for Range 11 to 1, @250 Pa", "")</f>
        <v/>
      </c>
    </row>
    <row r="104" spans="1:1" ht="18.75" x14ac:dyDescent="0.3">
      <c r="A104" s="655">
        <v>400</v>
      </c>
    </row>
    <row r="105" spans="1:1" ht="15.75" thickBot="1" x14ac:dyDescent="0.3"/>
    <row r="106" spans="1:1" ht="15.75" thickBot="1" x14ac:dyDescent="0.3">
      <c r="A106" s="654">
        <v>250</v>
      </c>
    </row>
    <row r="137" spans="1:1" ht="18.75" x14ac:dyDescent="0.3">
      <c r="A137" s="655" t="s">
        <v>53</v>
      </c>
    </row>
    <row r="138" spans="1:1" ht="15.75" thickBot="1" x14ac:dyDescent="0.3"/>
    <row r="139" spans="1:1" ht="15.75" thickBot="1" x14ac:dyDescent="0.3">
      <c r="A139" s="654">
        <v>50</v>
      </c>
    </row>
    <row r="170" spans="1:20" ht="18.75" x14ac:dyDescent="0.3">
      <c r="A170" s="655">
        <v>4000</v>
      </c>
    </row>
    <row r="171" spans="1:20" ht="15.75" thickBot="1" x14ac:dyDescent="0.3">
      <c r="Q171" s="775"/>
      <c r="R171" s="775"/>
      <c r="S171" s="775"/>
      <c r="T171" s="775"/>
    </row>
    <row r="172" spans="1:20" ht="15.75" thickBot="1" x14ac:dyDescent="0.3">
      <c r="A172" s="654">
        <v>250</v>
      </c>
      <c r="Q172" s="775"/>
      <c r="R172" s="775"/>
      <c r="S172" s="775"/>
      <c r="T172" s="775"/>
    </row>
    <row r="173" spans="1:20" x14ac:dyDescent="0.25">
      <c r="Q173" s="775"/>
      <c r="R173" s="775"/>
      <c r="S173" s="775"/>
      <c r="T173" s="775"/>
    </row>
    <row r="174" spans="1:20" x14ac:dyDescent="0.25">
      <c r="Q174" s="775"/>
      <c r="R174" s="775"/>
      <c r="S174" s="775"/>
      <c r="T174" s="775"/>
    </row>
    <row r="175" spans="1:20" x14ac:dyDescent="0.25">
      <c r="Q175" s="775"/>
      <c r="R175" s="775"/>
      <c r="S175" s="775"/>
      <c r="T175" s="775"/>
    </row>
    <row r="200" spans="1:1" ht="15" customHeight="1" x14ac:dyDescent="0.25"/>
    <row r="203" spans="1:1" ht="18.75" x14ac:dyDescent="0.3">
      <c r="A203" s="655">
        <v>5000</v>
      </c>
    </row>
    <row r="204" spans="1:1" ht="15.75" thickBot="1" x14ac:dyDescent="0.3"/>
    <row r="205" spans="1:1" ht="15.75" thickBot="1" x14ac:dyDescent="0.3">
      <c r="A205" s="654">
        <v>50</v>
      </c>
    </row>
    <row r="236" spans="1:1" ht="18.75" x14ac:dyDescent="0.3">
      <c r="A236" s="655">
        <v>6000</v>
      </c>
    </row>
    <row r="237" spans="1:1" ht="15.75" thickBot="1" x14ac:dyDescent="0.3"/>
    <row r="238" spans="1:1" ht="15.75" thickBot="1" x14ac:dyDescent="0.3">
      <c r="A238" s="654">
        <v>50</v>
      </c>
    </row>
    <row r="269" spans="1:1" x14ac:dyDescent="0.25">
      <c r="A269" s="799" t="s">
        <v>114</v>
      </c>
    </row>
  </sheetData>
  <sheetProtection algorithmName="SHA-512" hashValue="gypyAO6RMnx8ZD6SVz5q+inCrOLsyui3QZqtc6meyeaH08g1cuSj+9+WUiFyDYMfEgeZru5FBDctoofbAbZmFQ==" saltValue="CG1dOPLAmk2rxKllmiCPhA==" spinCount="100000" sheet="1" objects="1" scenarios="1" selectLockedCells="1"/>
  <pageMargins left="0.7" right="0.7" top="0.75" bottom="0.75" header="0.3" footer="0.3"/>
  <pageSetup orientation="portrait" copies="2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300-000000000000}">
          <x14:formula1>
            <xm:f>'Round B1'!$S$99:$U$99</xm:f>
          </x14:formula1>
          <xm:sqref>A238</xm:sqref>
        </x14:dataValidation>
        <x14:dataValidation type="list" allowBlank="1" showInputMessage="1" showErrorMessage="1" xr:uid="{00000000-0002-0000-0300-000001000000}">
          <x14:formula1>
            <xm:f>'Round B1'!$AK$20:$AK$21</xm:f>
          </x14:formula1>
          <xm:sqref>A7</xm:sqref>
        </x14:dataValidation>
        <x14:dataValidation type="list" allowBlank="1" showInputMessage="1" showErrorMessage="1" xr:uid="{00000000-0002-0000-0300-000002000000}">
          <x14:formula1>
            <xm:f>'Round B1'!$O$49:$Q$49</xm:f>
          </x14:formula1>
          <xm:sqref>A106</xm:sqref>
        </x14:dataValidation>
        <x14:dataValidation type="list" allowBlank="1" showInputMessage="1" showErrorMessage="1" xr:uid="{00000000-0002-0000-0300-000003000000}">
          <x14:formula1>
            <xm:f>'Round B1'!$S$77:$T$77</xm:f>
          </x14:formula1>
          <xm:sqref>A172</xm:sqref>
        </x14:dataValidation>
        <x14:dataValidation type="list" allowBlank="1" showInputMessage="1" showErrorMessage="1" xr:uid="{00000000-0002-0000-0300-000004000000}">
          <x14:formula1>
            <xm:f>'Round B1'!$S$99:$U$99</xm:f>
          </x14:formula1>
          <xm:sqref>A205</xm:sqref>
        </x14:dataValidation>
        <x14:dataValidation type="list" allowBlank="1" showInputMessage="1" showErrorMessage="1" xr:uid="{00000000-0002-0000-0300-000005000000}">
          <x14:formula1>
            <xm:f>'Round B1'!$AK$29:$AK$30</xm:f>
          </x14:formula1>
          <xm:sqref>A40</xm:sqref>
        </x14:dataValidation>
        <x14:dataValidation type="list" allowBlank="1" showInputMessage="1" showErrorMessage="1" xr:uid="{00000000-0002-0000-0300-000006000000}">
          <x14:formula1>
            <xm:f>'Round B1'!$AK$39:$AK$40</xm:f>
          </x14:formula1>
          <xm:sqref>A73</xm:sqref>
        </x14:dataValidation>
        <x14:dataValidation type="list" allowBlank="1" showInputMessage="1" showErrorMessage="1" xr:uid="{00000000-0002-0000-0300-000007000000}">
          <x14:formula1>
            <xm:f>'Round B1'!$O$61:$R$61</xm:f>
          </x14:formula1>
          <xm:sqref>A139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AD263"/>
  <sheetViews>
    <sheetView zoomScale="85" zoomScaleNormal="85" workbookViewId="0">
      <selection activeCell="S93" sqref="S93"/>
    </sheetView>
  </sheetViews>
  <sheetFormatPr defaultColWidth="9.140625" defaultRowHeight="15" x14ac:dyDescent="0.25"/>
  <cols>
    <col min="1" max="2" width="9.140625" style="2"/>
    <col min="3" max="4" width="10.85546875" style="2" customWidth="1"/>
    <col min="5" max="5" width="11.42578125" style="2" customWidth="1"/>
    <col min="6" max="6" width="11.7109375" style="2" hidden="1" customWidth="1"/>
    <col min="7" max="9" width="9.5703125" style="2" customWidth="1"/>
    <col min="10" max="10" width="7.85546875" style="2" bestFit="1" customWidth="1"/>
    <col min="11" max="11" width="9.5703125" style="2" customWidth="1"/>
    <col min="12" max="14" width="9.42578125" style="2" customWidth="1"/>
    <col min="15" max="15" width="10.28515625" style="2" customWidth="1"/>
    <col min="16" max="16" width="9.28515625" style="2" customWidth="1"/>
    <col min="17" max="16384" width="9.140625" style="2"/>
  </cols>
  <sheetData>
    <row r="1" spans="1:26" ht="18.75" x14ac:dyDescent="0.3">
      <c r="C1" s="154" t="s">
        <v>50</v>
      </c>
      <c r="D1" s="154"/>
    </row>
    <row r="2" spans="1:26" ht="18.75" x14ac:dyDescent="0.3">
      <c r="C2" s="154" t="s">
        <v>44</v>
      </c>
      <c r="D2" s="154"/>
    </row>
    <row r="4" spans="1:26" x14ac:dyDescent="0.25">
      <c r="C4" s="29" t="s">
        <v>10</v>
      </c>
      <c r="D4" s="29"/>
      <c r="E4" s="29"/>
      <c r="F4" s="29"/>
      <c r="G4" s="29"/>
      <c r="H4" s="29"/>
      <c r="I4" s="29"/>
      <c r="J4" s="29"/>
      <c r="K4" s="29"/>
      <c r="L4" s="29"/>
      <c r="M4" s="145"/>
      <c r="N4" s="145"/>
      <c r="O4" s="145"/>
      <c r="Q4" s="1"/>
    </row>
    <row r="5" spans="1:26" x14ac:dyDescent="0.25">
      <c r="C5" s="23" t="s">
        <v>31</v>
      </c>
      <c r="D5" s="23"/>
      <c r="E5" s="23"/>
      <c r="F5" s="23"/>
      <c r="G5" s="23"/>
      <c r="H5" s="23"/>
      <c r="I5" s="23"/>
      <c r="J5" s="24"/>
      <c r="K5" s="23"/>
      <c r="L5" s="23"/>
      <c r="M5" s="23"/>
      <c r="N5" s="23"/>
      <c r="O5" s="23"/>
      <c r="P5" s="23"/>
      <c r="Q5" s="23"/>
    </row>
    <row r="6" spans="1:26" x14ac:dyDescent="0.25">
      <c r="C6" s="210" t="s">
        <v>49</v>
      </c>
      <c r="D6" s="210"/>
      <c r="E6"/>
      <c r="F6"/>
      <c r="G6"/>
      <c r="H6"/>
      <c r="I6"/>
      <c r="J6"/>
      <c r="K6"/>
      <c r="L6"/>
      <c r="M6"/>
      <c r="N6"/>
      <c r="O6"/>
      <c r="P6"/>
      <c r="Q6"/>
    </row>
    <row r="7" spans="1:26" ht="15.75" thickBot="1" x14ac:dyDescent="0.3"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26" ht="40.5" customHeight="1" thickBot="1" x14ac:dyDescent="0.3">
      <c r="C8" s="944" t="s">
        <v>28</v>
      </c>
      <c r="D8" s="945"/>
      <c r="E8" s="144" t="s">
        <v>38</v>
      </c>
      <c r="G8" s="108" t="s">
        <v>32</v>
      </c>
      <c r="H8" s="108"/>
      <c r="I8" s="108"/>
      <c r="J8" s="108"/>
      <c r="K8" s="108"/>
      <c r="L8" s="108"/>
      <c r="M8" s="108"/>
      <c r="O8" s="1"/>
    </row>
    <row r="9" spans="1:26" ht="46.5" customHeight="1" thickBot="1" x14ac:dyDescent="0.35">
      <c r="A9" s="3" t="s">
        <v>7</v>
      </c>
      <c r="B9" s="3" t="s">
        <v>8</v>
      </c>
      <c r="C9" s="80" t="s">
        <v>33</v>
      </c>
      <c r="D9" s="81" t="s">
        <v>30</v>
      </c>
      <c r="E9" s="126" t="s">
        <v>39</v>
      </c>
      <c r="F9" s="67" t="s">
        <v>27</v>
      </c>
      <c r="G9" s="115" t="s">
        <v>26</v>
      </c>
      <c r="H9" s="164" t="s">
        <v>66</v>
      </c>
      <c r="I9" s="164" t="s">
        <v>46</v>
      </c>
      <c r="J9" s="127" t="s">
        <v>1</v>
      </c>
      <c r="K9" s="128" t="s">
        <v>0</v>
      </c>
      <c r="L9" s="128" t="s">
        <v>2</v>
      </c>
      <c r="M9" s="128" t="s">
        <v>5</v>
      </c>
      <c r="N9" s="128" t="s">
        <v>3</v>
      </c>
      <c r="O9" s="129" t="s">
        <v>6</v>
      </c>
      <c r="P9" s="964" t="s">
        <v>43</v>
      </c>
      <c r="Q9" s="965"/>
      <c r="R9" s="965"/>
      <c r="S9" s="965"/>
      <c r="T9" s="965"/>
      <c r="U9" s="965"/>
      <c r="V9" s="965"/>
      <c r="W9" s="965"/>
      <c r="X9" s="965"/>
      <c r="Y9" s="965"/>
      <c r="Z9" s="965"/>
    </row>
    <row r="10" spans="1:26" x14ac:dyDescent="0.25">
      <c r="A10" s="951">
        <v>300</v>
      </c>
      <c r="B10" s="17" t="s">
        <v>4</v>
      </c>
      <c r="C10" s="48">
        <v>50.5</v>
      </c>
      <c r="D10" s="48">
        <v>214.5</v>
      </c>
      <c r="E10" s="134">
        <f t="shared" ref="E10:E17" si="0">IF(OR(C10="",D10="", D10&lt;0),"---",        IF(AND(D10&gt;=O10,D10&gt;=ABS(C10)*M10),D10,"---"))</f>
        <v>214.5</v>
      </c>
      <c r="F10" s="73" t="e">
        <f>IF(OR(#REF!="", E10=""),"",(E10-#REF!*L10)^J10*(K10+E10*N10))</f>
        <v>#REF!</v>
      </c>
      <c r="G10" s="132">
        <f t="shared" ref="G10:G17" si="1">IF(E10="---","---", (E10-ABS(C10)*L10)^J10*(K10+E10*N10))</f>
        <v>479.46508947976116</v>
      </c>
      <c r="H10" s="170">
        <v>425.5</v>
      </c>
      <c r="I10" s="211">
        <f t="shared" ref="I10:I16" si="2">(H10-G10)/H10</f>
        <v>-0.12682747233786407</v>
      </c>
      <c r="J10" s="110">
        <f>'Round B1'!I16</f>
        <v>0.51149999999999995</v>
      </c>
      <c r="K10" s="16">
        <f>'Round B1'!J16</f>
        <v>30.7774</v>
      </c>
      <c r="L10" s="16">
        <f>'Round B1'!K16</f>
        <v>0</v>
      </c>
      <c r="M10" s="16">
        <f>'Round B1'!L16</f>
        <v>0.2</v>
      </c>
      <c r="N10" s="16">
        <f>'Round B1'!M16</f>
        <v>0</v>
      </c>
      <c r="O10" s="41">
        <f>'Round B1'!N16</f>
        <v>10</v>
      </c>
      <c r="P10" s="12" t="s">
        <v>48</v>
      </c>
      <c r="Q10" s="12"/>
      <c r="R10" s="12"/>
      <c r="S10" s="12"/>
      <c r="T10" s="12"/>
      <c r="U10" s="12"/>
      <c r="V10" s="58"/>
    </row>
    <row r="11" spans="1:26" x14ac:dyDescent="0.25">
      <c r="A11" s="952"/>
      <c r="B11" s="54">
        <v>102</v>
      </c>
      <c r="C11" s="49">
        <v>50.5</v>
      </c>
      <c r="D11" s="49">
        <v>214.5</v>
      </c>
      <c r="E11" s="135">
        <f t="shared" si="0"/>
        <v>214.5</v>
      </c>
      <c r="F11" s="20" t="e">
        <f>IF(OR(#REF!="", E11=""),"",(E11-#REF!*L11)^J11*(K11+E11*N11))</f>
        <v>#REF!</v>
      </c>
      <c r="G11" s="137">
        <f t="shared" si="1"/>
        <v>254.05390962211746</v>
      </c>
      <c r="H11" s="167">
        <v>253.9</v>
      </c>
      <c r="I11" s="212">
        <f t="shared" si="2"/>
        <v>-6.0618204851300972E-4</v>
      </c>
      <c r="J11" s="111">
        <f>'Round B1'!I21</f>
        <v>0.59</v>
      </c>
      <c r="K11" s="57">
        <f>'Round B1'!J21</f>
        <v>10.7</v>
      </c>
      <c r="L11" s="56">
        <f>'Round B1'!K21</f>
        <v>0</v>
      </c>
      <c r="M11" s="56">
        <f>'Round B1'!L21</f>
        <v>0.4</v>
      </c>
      <c r="N11" s="56">
        <f>'Round B1'!M21</f>
        <v>0</v>
      </c>
      <c r="O11" s="37">
        <f>'Round B1'!N21</f>
        <v>100</v>
      </c>
      <c r="P11" s="32"/>
      <c r="Q11" s="58"/>
      <c r="R11" s="58"/>
      <c r="S11" s="58"/>
      <c r="T11" s="58"/>
      <c r="U11" s="58"/>
      <c r="V11" s="58"/>
      <c r="W11" s="58"/>
    </row>
    <row r="12" spans="1:26" x14ac:dyDescent="0.25">
      <c r="A12" s="952"/>
      <c r="B12" s="6">
        <v>74</v>
      </c>
      <c r="C12" s="49">
        <v>50.5</v>
      </c>
      <c r="D12" s="49">
        <v>214.5</v>
      </c>
      <c r="E12" s="135">
        <f t="shared" si="0"/>
        <v>214.5</v>
      </c>
      <c r="F12" s="20" t="e">
        <f>IF(OR(#REF!="", E12=""),"",(E12-#REF!*L12)^J12*(K12+E12*N12))</f>
        <v>#REF!</v>
      </c>
      <c r="G12" s="137">
        <f t="shared" si="1"/>
        <v>106.18761221258498</v>
      </c>
      <c r="H12" s="167">
        <v>106.1</v>
      </c>
      <c r="I12" s="212">
        <f t="shared" si="2"/>
        <v>-8.2575129674821953E-4</v>
      </c>
      <c r="J12" s="112">
        <f>'Round B1'!I22</f>
        <v>0.50449999999999995</v>
      </c>
      <c r="K12" s="8">
        <f>'Round B1'!J22</f>
        <v>7.0773192087114243</v>
      </c>
      <c r="L12" s="5">
        <f>'Round B1'!K22</f>
        <v>0</v>
      </c>
      <c r="M12" s="5">
        <f>'Round B1'!L22</f>
        <v>0.25</v>
      </c>
      <c r="N12" s="5">
        <f>'Round B1'!M22</f>
        <v>0</v>
      </c>
      <c r="O12" s="37">
        <f>'Round B1'!N22</f>
        <v>15</v>
      </c>
      <c r="P12" s="12" t="s">
        <v>35</v>
      </c>
      <c r="Q12" s="12"/>
      <c r="R12" s="12"/>
      <c r="S12" s="12"/>
      <c r="T12" s="12"/>
      <c r="U12" s="58"/>
      <c r="V12" s="58"/>
    </row>
    <row r="13" spans="1:26" x14ac:dyDescent="0.25">
      <c r="A13" s="952"/>
      <c r="B13" s="6">
        <v>47</v>
      </c>
      <c r="C13" s="49">
        <v>50.5</v>
      </c>
      <c r="D13" s="49">
        <v>214.5</v>
      </c>
      <c r="E13" s="135">
        <f t="shared" si="0"/>
        <v>214.5</v>
      </c>
      <c r="F13" s="20" t="e">
        <f>IF(OR(#REF!="", E13=""),"",(E13-#REF!*L13)^J13*(K13+E13*N13))</f>
        <v>#REF!</v>
      </c>
      <c r="G13" s="137">
        <f t="shared" si="1"/>
        <v>47.466159628518334</v>
      </c>
      <c r="H13" s="167">
        <v>47.44</v>
      </c>
      <c r="I13" s="212">
        <f t="shared" si="2"/>
        <v>-5.5142555898684371E-4</v>
      </c>
      <c r="J13" s="113">
        <f>'Round B1'!I23</f>
        <v>0.5</v>
      </c>
      <c r="K13" s="8">
        <f>'Round B1'!J23</f>
        <v>3.2409359420275905</v>
      </c>
      <c r="L13" s="5">
        <f>'Round B1'!K23</f>
        <v>0</v>
      </c>
      <c r="M13" s="5">
        <f>'Round B1'!L23</f>
        <v>0.1</v>
      </c>
      <c r="N13" s="5">
        <f>'Round B1'!M23</f>
        <v>0</v>
      </c>
      <c r="O13" s="37">
        <f>'Round B1'!N23</f>
        <v>10</v>
      </c>
    </row>
    <row r="14" spans="1:26" x14ac:dyDescent="0.25">
      <c r="A14" s="952"/>
      <c r="B14" s="6">
        <v>29</v>
      </c>
      <c r="C14" s="49">
        <v>50.5</v>
      </c>
      <c r="D14" s="49">
        <v>214.5</v>
      </c>
      <c r="E14" s="135">
        <f t="shared" si="0"/>
        <v>214.5</v>
      </c>
      <c r="F14" s="20" t="e">
        <f>IF(OR(#REF!="", E14=""),"",(E14-#REF!*L14)^J14*(K14+E14*N14))</f>
        <v>#REF!</v>
      </c>
      <c r="G14" s="137">
        <f t="shared" si="1"/>
        <v>17.620355217985768</v>
      </c>
      <c r="H14" s="167">
        <v>17.61</v>
      </c>
      <c r="I14" s="212">
        <f t="shared" si="2"/>
        <v>-5.8803055001525623E-4</v>
      </c>
      <c r="J14" s="113">
        <f>'Round B1'!I24</f>
        <v>0.502</v>
      </c>
      <c r="K14" s="8">
        <f>'Round B1'!J24</f>
        <v>1.1902499077349771</v>
      </c>
      <c r="L14" s="5">
        <f>'Round B1'!K24</f>
        <v>0</v>
      </c>
      <c r="M14" s="5">
        <f>'Round B1'!L24</f>
        <v>0.2</v>
      </c>
      <c r="N14" s="5">
        <f>'Round B1'!M24</f>
        <v>0</v>
      </c>
      <c r="O14" s="37">
        <f>'Round B1'!N24</f>
        <v>20</v>
      </c>
      <c r="Q14" s="10"/>
    </row>
    <row r="15" spans="1:26" x14ac:dyDescent="0.25">
      <c r="A15" s="952"/>
      <c r="B15" s="6">
        <v>18</v>
      </c>
      <c r="C15" s="49">
        <v>50.5</v>
      </c>
      <c r="D15" s="49">
        <v>214.5</v>
      </c>
      <c r="E15" s="135">
        <f t="shared" si="0"/>
        <v>214.5</v>
      </c>
      <c r="F15" s="68" t="e">
        <f>IF(OR(#REF!="", E15=""),"",(E15-#REF!*L15)^J15*(K15+E15*N15))</f>
        <v>#REF!</v>
      </c>
      <c r="G15" s="147">
        <f t="shared" si="1"/>
        <v>6.6573044897500822</v>
      </c>
      <c r="H15" s="167">
        <v>6.6539999999999999</v>
      </c>
      <c r="I15" s="212">
        <f t="shared" si="2"/>
        <v>-4.9661703487860541E-4</v>
      </c>
      <c r="J15" s="112">
        <f>'Round B1'!I25</f>
        <v>0.499</v>
      </c>
      <c r="K15" s="5">
        <f>'Round B1'!J25</f>
        <v>0.45700000000000002</v>
      </c>
      <c r="L15" s="5">
        <f>'Round B1'!K25</f>
        <v>0</v>
      </c>
      <c r="M15" s="5">
        <f>'Round B1'!L25</f>
        <v>0.25</v>
      </c>
      <c r="N15" s="5">
        <f>'Round B1'!M25</f>
        <v>0</v>
      </c>
      <c r="O15" s="37">
        <f>'Round B1'!N25</f>
        <v>25</v>
      </c>
    </row>
    <row r="16" spans="1:26" x14ac:dyDescent="0.25">
      <c r="A16" s="952"/>
      <c r="B16" s="6">
        <v>11</v>
      </c>
      <c r="C16" s="49">
        <v>50.5</v>
      </c>
      <c r="D16" s="49">
        <v>214.5</v>
      </c>
      <c r="E16" s="135">
        <f t="shared" si="0"/>
        <v>214.5</v>
      </c>
      <c r="F16" s="68" t="e">
        <f>IF(OR(#REF!="", E16=""),"",(E16-#REF!*L16)^J16*(K16+E16*N16))</f>
        <v>#REF!</v>
      </c>
      <c r="G16" s="147">
        <f t="shared" si="1"/>
        <v>2.7362037722154193</v>
      </c>
      <c r="H16" s="167">
        <v>6.6539999999999999</v>
      </c>
      <c r="I16" s="212">
        <f t="shared" si="2"/>
        <v>0.58878813161776089</v>
      </c>
      <c r="J16" s="113">
        <f>'Round B1'!I26</f>
        <v>0.48</v>
      </c>
      <c r="K16" s="4">
        <f>'Round B1'!J26</f>
        <v>0.20799999999999999</v>
      </c>
      <c r="L16" s="5">
        <f>'Round B1'!K26</f>
        <v>0</v>
      </c>
      <c r="M16" s="5">
        <f>'Round B1'!L26</f>
        <v>0.25</v>
      </c>
      <c r="N16" s="5">
        <f>'Round B1'!M26</f>
        <v>0</v>
      </c>
      <c r="O16" s="37">
        <f>'Round B1'!N26</f>
        <v>25</v>
      </c>
    </row>
    <row r="17" spans="1:23" ht="15.75" thickBot="1" x14ac:dyDescent="0.3">
      <c r="A17" s="953"/>
      <c r="B17" s="7">
        <v>7</v>
      </c>
      <c r="C17" s="50">
        <v>50.5</v>
      </c>
      <c r="D17" s="50">
        <v>214.5</v>
      </c>
      <c r="E17" s="136">
        <f t="shared" si="0"/>
        <v>214.5</v>
      </c>
      <c r="F17" s="21" t="e">
        <f>IF(OR(#REF!="", E17=""),"",(E17-#REF!*L17)^J17*(K17+E17*N17))</f>
        <v>#REF!</v>
      </c>
      <c r="G17" s="149">
        <f t="shared" si="1"/>
        <v>1.0515697694399551</v>
      </c>
      <c r="H17" s="173">
        <v>4.929E-2</v>
      </c>
      <c r="I17" s="213">
        <f>(H17-G17)/H17</f>
        <v>-20.334343060254717</v>
      </c>
      <c r="J17" s="114">
        <f>'Round B1'!I27</f>
        <v>0.5</v>
      </c>
      <c r="K17" s="19">
        <f>'Round B1'!J27</f>
        <v>7.1800000000000003E-2</v>
      </c>
      <c r="L17" s="19">
        <f>'Round B1'!K27</f>
        <v>0</v>
      </c>
      <c r="M17" s="19">
        <f>'Round B1'!L27</f>
        <v>0.11</v>
      </c>
      <c r="N17" s="19">
        <f>'Round B1'!M27</f>
        <v>0</v>
      </c>
      <c r="O17" s="40">
        <f>'Round B1'!N27</f>
        <v>25</v>
      </c>
    </row>
    <row r="18" spans="1:23" ht="15.75" thickBot="1" x14ac:dyDescent="0.3">
      <c r="C18" s="18"/>
      <c r="D18" s="133"/>
      <c r="E18" s="136"/>
      <c r="F18" s="11"/>
      <c r="G18" s="150"/>
      <c r="H18" s="158"/>
      <c r="I18" s="158"/>
      <c r="J18" s="642"/>
      <c r="K18" s="643"/>
      <c r="L18" s="643"/>
      <c r="M18" s="643"/>
      <c r="N18" s="643"/>
      <c r="O18" s="644"/>
    </row>
    <row r="19" spans="1:23" x14ac:dyDescent="0.25">
      <c r="A19" s="937">
        <v>340</v>
      </c>
      <c r="B19" s="146" t="s">
        <v>4</v>
      </c>
      <c r="C19" s="48">
        <v>50.3</v>
      </c>
      <c r="D19" s="48">
        <v>223</v>
      </c>
      <c r="E19" s="134">
        <f>IF(OR(C19="",D19="", D19&lt;0),"---",        IF(AND(C19&gt;0, D19&gt;=O19,D19&gt;=ABS(C19)*M19),D19,"---"))</f>
        <v>223</v>
      </c>
      <c r="F19" s="13" t="e">
        <f>IF(OR(#REF!="", E19=""),"",(E19-#REF!*L19)^J19*(K19+E19*N19))</f>
        <v>#REF!</v>
      </c>
      <c r="G19" s="132">
        <f t="shared" ref="G19:G27" si="3">IF(E19="---","---", (E19-ABS(C19)*L19)^J19*(K19+E19*N19))</f>
        <v>434.05906249085018</v>
      </c>
      <c r="H19" s="170">
        <v>434.2</v>
      </c>
      <c r="I19" s="214">
        <f>(H19-G19)/H19</f>
        <v>3.2459122328375802E-4</v>
      </c>
      <c r="J19" s="645">
        <f>'Round B1'!I29</f>
        <v>0.501</v>
      </c>
      <c r="K19" s="100">
        <f>'Round B1'!J29</f>
        <v>28.91</v>
      </c>
      <c r="L19" s="100">
        <f>'Round B1'!K29</f>
        <v>0</v>
      </c>
      <c r="M19" s="100">
        <f>'Round B1'!L29</f>
        <v>0.4</v>
      </c>
      <c r="N19" s="100">
        <f>'Round B1'!M29</f>
        <v>0</v>
      </c>
      <c r="O19" s="102">
        <f>'Round B1'!N29</f>
        <v>20</v>
      </c>
      <c r="P19" s="23" t="s">
        <v>36</v>
      </c>
      <c r="Q19" s="23"/>
      <c r="R19" s="23"/>
      <c r="S19" s="23"/>
      <c r="T19" s="23"/>
      <c r="U19" s="23"/>
      <c r="V19" s="23"/>
      <c r="W19" s="23"/>
    </row>
    <row r="20" spans="1:23" ht="15" customHeight="1" x14ac:dyDescent="0.25">
      <c r="A20" s="938"/>
      <c r="B20" s="45" t="s">
        <v>4</v>
      </c>
      <c r="C20" s="49">
        <v>-50.5</v>
      </c>
      <c r="D20" s="49">
        <v>94.8</v>
      </c>
      <c r="E20" s="135">
        <f>IF(OR(C20="",D20="", D20&lt;0),"---",        IF(AND(C20&lt;0, D20&gt;=O20,D20&gt;=ABS(C20)*M20),D20,"---"))</f>
        <v>94.8</v>
      </c>
      <c r="F20" s="15" t="e">
        <f>IF(OR(#REF!="", E20=""),"",(E20-#REF!*L20)^J20*(K20+E20*N20))</f>
        <v>#REF!</v>
      </c>
      <c r="G20" s="137">
        <f t="shared" si="3"/>
        <v>291.25024098898177</v>
      </c>
      <c r="H20" s="167">
        <v>291.2</v>
      </c>
      <c r="I20" s="215">
        <f t="shared" ref="I20:I27" si="4">(H20-G20)/H20</f>
        <v>-1.7253086875612667E-4</v>
      </c>
      <c r="J20" s="646">
        <f>'Round B1'!I30</f>
        <v>0.501</v>
      </c>
      <c r="K20" s="106">
        <f>'Round B1'!J30</f>
        <v>29.7773</v>
      </c>
      <c r="L20" s="103">
        <f>'Round B1'!K30</f>
        <v>0</v>
      </c>
      <c r="M20" s="103">
        <f>'Round B1'!L30</f>
        <v>0.4</v>
      </c>
      <c r="N20" s="104">
        <f>'Round B1'!M30</f>
        <v>0</v>
      </c>
      <c r="O20" s="107">
        <f>'Round B1'!N30</f>
        <v>20</v>
      </c>
      <c r="P20" s="23" t="s">
        <v>37</v>
      </c>
      <c r="Q20" s="23"/>
      <c r="R20" s="23"/>
      <c r="S20" s="30"/>
      <c r="T20" s="30"/>
      <c r="U20" s="30"/>
      <c r="V20" s="30"/>
      <c r="W20" s="30"/>
    </row>
    <row r="21" spans="1:23" ht="15" customHeight="1" x14ac:dyDescent="0.25">
      <c r="A21" s="938"/>
      <c r="B21" s="54">
        <v>102</v>
      </c>
      <c r="C21" s="55">
        <v>50.5</v>
      </c>
      <c r="D21" s="55">
        <v>214.5</v>
      </c>
      <c r="E21" s="135">
        <f t="shared" ref="E21:E27" si="5">IF(OR(C21="",D21="", D21&lt;0),"---",        IF(AND(D21&gt;=O21,D21&gt;=ABS(C21)*M21),D21,"---"))</f>
        <v>214.5</v>
      </c>
      <c r="F21" s="20" t="e">
        <f>IF(OR(#REF!="", E21=""),"",(E21-#REF!*L21)^J21*(K21+E21*N21))</f>
        <v>#REF!</v>
      </c>
      <c r="G21" s="137">
        <f t="shared" si="3"/>
        <v>254.05390962211746</v>
      </c>
      <c r="H21" s="167">
        <v>253.9</v>
      </c>
      <c r="I21" s="215">
        <f t="shared" si="4"/>
        <v>-6.0618204851300972E-4</v>
      </c>
      <c r="J21" s="202">
        <f>'Round B1'!I31</f>
        <v>0.59</v>
      </c>
      <c r="K21" s="57">
        <f>'Round B1'!J31</f>
        <v>10.7</v>
      </c>
      <c r="L21" s="56">
        <f>'Round B1'!K31</f>
        <v>0</v>
      </c>
      <c r="M21" s="56">
        <f>'Round B1'!L31</f>
        <v>0.4</v>
      </c>
      <c r="N21" s="56">
        <f>'Round B1'!M31</f>
        <v>0</v>
      </c>
      <c r="O21" s="37">
        <f>'Round B1'!N31</f>
        <v>100</v>
      </c>
      <c r="Q21" s="30"/>
      <c r="R21" s="30"/>
      <c r="S21" s="30"/>
      <c r="T21" s="30"/>
    </row>
    <row r="22" spans="1:23" ht="15" customHeight="1" x14ac:dyDescent="0.25">
      <c r="A22" s="938"/>
      <c r="B22" s="6">
        <v>74</v>
      </c>
      <c r="C22" s="55">
        <v>50.5</v>
      </c>
      <c r="D22" s="55">
        <v>214.5</v>
      </c>
      <c r="E22" s="135">
        <f t="shared" si="5"/>
        <v>214.5</v>
      </c>
      <c r="F22" s="15" t="e">
        <f>IF(OR(#REF!="", E22=""),"",(E22-#REF!*L22)^J22*(K22+E22*N22))</f>
        <v>#REF!</v>
      </c>
      <c r="G22" s="137">
        <f t="shared" si="3"/>
        <v>106.18761221258498</v>
      </c>
      <c r="H22" s="167">
        <v>106.1</v>
      </c>
      <c r="I22" s="215">
        <f t="shared" si="4"/>
        <v>-8.2575129674821953E-4</v>
      </c>
      <c r="J22" s="647">
        <f>'Round B1'!I32</f>
        <v>0.50449999999999995</v>
      </c>
      <c r="K22" s="8">
        <f>'Round B1'!J32</f>
        <v>7.0773192087114243</v>
      </c>
      <c r="L22" s="5">
        <f>'Round B1'!K32</f>
        <v>0</v>
      </c>
      <c r="M22" s="5">
        <f>'Round B1'!L32</f>
        <v>0.25</v>
      </c>
      <c r="N22" s="36">
        <f>'Round B1'!M32</f>
        <v>0</v>
      </c>
      <c r="O22" s="37">
        <f>'Round B1'!N32</f>
        <v>15</v>
      </c>
    </row>
    <row r="23" spans="1:23" ht="15" customHeight="1" x14ac:dyDescent="0.25">
      <c r="A23" s="938"/>
      <c r="B23" s="46">
        <v>47</v>
      </c>
      <c r="C23" s="55">
        <v>50.5</v>
      </c>
      <c r="D23" s="55">
        <v>214.5</v>
      </c>
      <c r="E23" s="135">
        <f t="shared" si="5"/>
        <v>214.5</v>
      </c>
      <c r="F23" s="15" t="e">
        <f>IF(OR(#REF!="", E23=""),"",(E23-#REF!*L23)^J23*(K23+E23*N23))</f>
        <v>#REF!</v>
      </c>
      <c r="G23" s="137">
        <f t="shared" si="3"/>
        <v>47.466159628518334</v>
      </c>
      <c r="H23" s="167">
        <v>47.44</v>
      </c>
      <c r="I23" s="215">
        <f t="shared" si="4"/>
        <v>-5.5142555898684371E-4</v>
      </c>
      <c r="J23" s="200">
        <f>'Round B1'!I33</f>
        <v>0.5</v>
      </c>
      <c r="K23" s="8">
        <f>'Round B1'!J33</f>
        <v>3.2409359420275905</v>
      </c>
      <c r="L23" s="5">
        <f>'Round B1'!K33</f>
        <v>0</v>
      </c>
      <c r="M23" s="5">
        <f>'Round B1'!L33</f>
        <v>0.1</v>
      </c>
      <c r="N23" s="36">
        <f>'Round B1'!M33</f>
        <v>0</v>
      </c>
      <c r="O23" s="37">
        <f>'Round B1'!N33</f>
        <v>10</v>
      </c>
    </row>
    <row r="24" spans="1:23" ht="15" customHeight="1" x14ac:dyDescent="0.25">
      <c r="A24" s="938"/>
      <c r="B24" s="6">
        <v>29</v>
      </c>
      <c r="C24" s="55">
        <v>50.5</v>
      </c>
      <c r="D24" s="55">
        <v>214.5</v>
      </c>
      <c r="E24" s="135">
        <f t="shared" si="5"/>
        <v>214.5</v>
      </c>
      <c r="F24" s="20" t="e">
        <f>IF(OR(#REF!="", E24=""),"",(E24-#REF!*L24)^J24*(K24+E24*N24))</f>
        <v>#REF!</v>
      </c>
      <c r="G24" s="147">
        <f t="shared" si="3"/>
        <v>17.620355217985768</v>
      </c>
      <c r="H24" s="167">
        <v>17.61</v>
      </c>
      <c r="I24" s="215">
        <f t="shared" si="4"/>
        <v>-5.8803055001525623E-4</v>
      </c>
      <c r="J24" s="200">
        <f>'Round B1'!I34</f>
        <v>0.502</v>
      </c>
      <c r="K24" s="8">
        <f>'Round B1'!J34</f>
        <v>1.1902499077349771</v>
      </c>
      <c r="L24" s="5">
        <f>'Round B1'!K34</f>
        <v>0</v>
      </c>
      <c r="M24" s="5">
        <f>'Round B1'!L34</f>
        <v>0.2</v>
      </c>
      <c r="N24" s="36">
        <f>'Round B1'!M34</f>
        <v>0</v>
      </c>
      <c r="O24" s="37">
        <f>'Round B1'!N34</f>
        <v>20</v>
      </c>
    </row>
    <row r="25" spans="1:23" ht="15" customHeight="1" x14ac:dyDescent="0.25">
      <c r="A25" s="938"/>
      <c r="B25" s="6">
        <v>18</v>
      </c>
      <c r="C25" s="55">
        <v>50.5</v>
      </c>
      <c r="D25" s="55">
        <v>214.5</v>
      </c>
      <c r="E25" s="135">
        <f t="shared" si="5"/>
        <v>214.5</v>
      </c>
      <c r="F25" s="20" t="e">
        <f>IF(OR(#REF!="", E25=""),"",(E25-#REF!*L25)^J25*(K25+E25*N25))</f>
        <v>#REF!</v>
      </c>
      <c r="G25" s="147">
        <f t="shared" si="3"/>
        <v>6.6573044897500822</v>
      </c>
      <c r="H25" s="167">
        <v>6.6539999999999999</v>
      </c>
      <c r="I25" s="215">
        <f t="shared" si="4"/>
        <v>-4.9661703487860541E-4</v>
      </c>
      <c r="J25" s="647">
        <f>'Round B1'!I35</f>
        <v>0.499</v>
      </c>
      <c r="K25" s="5">
        <f>'Round B1'!J35</f>
        <v>0.45700000000000002</v>
      </c>
      <c r="L25" s="5">
        <f>'Round B1'!K35</f>
        <v>0</v>
      </c>
      <c r="M25" s="5">
        <f>'Round B1'!L35</f>
        <v>0.25</v>
      </c>
      <c r="N25" s="36">
        <f>'Round B1'!M35</f>
        <v>0</v>
      </c>
      <c r="O25" s="37">
        <f>'Round B1'!N35</f>
        <v>25</v>
      </c>
      <c r="P25" s="1"/>
    </row>
    <row r="26" spans="1:23" ht="15" customHeight="1" x14ac:dyDescent="0.25">
      <c r="A26" s="938"/>
      <c r="B26" s="6">
        <v>11</v>
      </c>
      <c r="C26" s="55">
        <v>50.5</v>
      </c>
      <c r="D26" s="55">
        <v>214.5</v>
      </c>
      <c r="E26" s="135">
        <f t="shared" si="5"/>
        <v>214.5</v>
      </c>
      <c r="F26" s="20" t="e">
        <f>IF(OR(#REF!="", E26=""),"",(E26-#REF!*L26)^J26*(K26+E26*N26))</f>
        <v>#REF!</v>
      </c>
      <c r="G26" s="147">
        <f t="shared" si="3"/>
        <v>2.7362037722154193</v>
      </c>
      <c r="H26" s="167">
        <v>2.7349999999999999</v>
      </c>
      <c r="I26" s="215">
        <f t="shared" si="4"/>
        <v>-4.4013609338919632E-4</v>
      </c>
      <c r="J26" s="200">
        <f>'Round B1'!I36</f>
        <v>0.48</v>
      </c>
      <c r="K26" s="4">
        <f>'Round B1'!J36</f>
        <v>0.20799999999999999</v>
      </c>
      <c r="L26" s="5">
        <f>'Round B1'!K36</f>
        <v>0</v>
      </c>
      <c r="M26" s="5">
        <f>'Round B1'!L36</f>
        <v>0.25</v>
      </c>
      <c r="N26" s="36">
        <f>'Round B1'!M36</f>
        <v>0</v>
      </c>
      <c r="O26" s="37">
        <f>'Round B1'!N36</f>
        <v>25</v>
      </c>
    </row>
    <row r="27" spans="1:23" ht="15.75" thickBot="1" x14ac:dyDescent="0.3">
      <c r="A27" s="939"/>
      <c r="B27" s="7">
        <v>7</v>
      </c>
      <c r="C27" s="50">
        <v>50.5</v>
      </c>
      <c r="D27" s="50">
        <v>214.5</v>
      </c>
      <c r="E27" s="136">
        <f t="shared" si="5"/>
        <v>214.5</v>
      </c>
      <c r="F27" s="21" t="e">
        <f>IF(OR(#REF!="", E27=""),"",(E27-#REF!*L27)^J27*(K27+E27*N27))</f>
        <v>#REF!</v>
      </c>
      <c r="G27" s="149">
        <f t="shared" si="3"/>
        <v>1.0515697694399551</v>
      </c>
      <c r="H27" s="173">
        <v>1.0509999999999999</v>
      </c>
      <c r="I27" s="216">
        <f t="shared" si="4"/>
        <v>-5.4212125590402064E-4</v>
      </c>
      <c r="J27" s="648">
        <f>'Round B1'!I37</f>
        <v>0.5</v>
      </c>
      <c r="K27" s="19">
        <f>'Round B1'!J37</f>
        <v>7.1800000000000003E-2</v>
      </c>
      <c r="L27" s="19">
        <f>'Round B1'!K37</f>
        <v>0</v>
      </c>
      <c r="M27" s="19">
        <f>'Round B1'!L37</f>
        <v>0.11</v>
      </c>
      <c r="N27" s="39">
        <f>'Round B1'!M37</f>
        <v>0</v>
      </c>
      <c r="O27" s="40">
        <f>'Round B1'!N37</f>
        <v>25</v>
      </c>
    </row>
    <row r="28" spans="1:23" ht="15.75" thickBot="1" x14ac:dyDescent="0.3">
      <c r="C28" s="18"/>
      <c r="D28" s="133"/>
      <c r="E28" s="136"/>
      <c r="F28" s="11"/>
      <c r="G28" s="150"/>
      <c r="H28" s="158"/>
      <c r="I28" s="158"/>
      <c r="J28" s="649"/>
      <c r="K28" s="14"/>
      <c r="L28" s="14"/>
      <c r="M28" s="14"/>
      <c r="N28" s="14"/>
      <c r="O28" s="151"/>
    </row>
    <row r="29" spans="1:23" ht="15" customHeight="1" x14ac:dyDescent="0.25">
      <c r="A29" s="937">
        <v>350</v>
      </c>
      <c r="B29" s="51">
        <v>102</v>
      </c>
      <c r="C29" s="48">
        <v>50.5</v>
      </c>
      <c r="D29" s="48">
        <v>214.5</v>
      </c>
      <c r="E29" s="134">
        <f t="shared" ref="E29:E38" si="6">IF(OR(C29="",D29="", D29&lt;0),"---",        IF(AND(D29&gt;=O29,D29&gt;=ABS(C29)*M29),D29,"---"))</f>
        <v>214.5</v>
      </c>
      <c r="F29" s="13" t="e">
        <f>IF(OR(#REF!="", E29=""),"",(E29-#REF!*L29)^J29*(K29+E29*N29))</f>
        <v>#REF!</v>
      </c>
      <c r="G29" s="138">
        <f t="shared" ref="G29:G38" si="7">IF(E29="---","---", (E29-ABS(C29)*L29)^J29*(K29+E29*N29))</f>
        <v>254.05390962211746</v>
      </c>
      <c r="H29" s="170">
        <v>253.9</v>
      </c>
      <c r="I29" s="214">
        <f>(H29-G29)/H29</f>
        <v>-6.0618204851300972E-4</v>
      </c>
      <c r="J29" s="650">
        <f>'Round B1'!I39</f>
        <v>0.59</v>
      </c>
      <c r="K29" s="16">
        <f>'Round B1'!J39</f>
        <v>10.7</v>
      </c>
      <c r="L29" s="16">
        <f>'Round B1'!K39</f>
        <v>0</v>
      </c>
      <c r="M29" s="16">
        <f>'Round B1'!L39</f>
        <v>0.4</v>
      </c>
      <c r="N29" s="16">
        <f>'Round B1'!M39</f>
        <v>0</v>
      </c>
      <c r="O29" s="35">
        <f>'Round B1'!N39</f>
        <v>100</v>
      </c>
    </row>
    <row r="30" spans="1:23" ht="15" customHeight="1" x14ac:dyDescent="0.25">
      <c r="A30" s="938"/>
      <c r="B30" s="6">
        <v>74</v>
      </c>
      <c r="C30" s="49">
        <v>50.5</v>
      </c>
      <c r="D30" s="49">
        <v>214.5</v>
      </c>
      <c r="E30" s="135">
        <f t="shared" si="6"/>
        <v>214.5</v>
      </c>
      <c r="F30" s="15" t="e">
        <f>IF(OR(#REF!="", E30=""),"",(E30-#REF!*L30)^J30*(K30+E30*N30))</f>
        <v>#REF!</v>
      </c>
      <c r="G30" s="137">
        <f t="shared" si="7"/>
        <v>106.18761221258498</v>
      </c>
      <c r="H30" s="167">
        <v>106.1</v>
      </c>
      <c r="I30" s="215">
        <f>(H30-G30)/H30</f>
        <v>-8.2575129674821953E-4</v>
      </c>
      <c r="J30" s="647">
        <f>'Round B1'!I40</f>
        <v>0.50449999999999995</v>
      </c>
      <c r="K30" s="8">
        <f>'Round B1'!J40</f>
        <v>7.0773192087114243</v>
      </c>
      <c r="L30" s="5">
        <f>'Round B1'!K40</f>
        <v>0</v>
      </c>
      <c r="M30" s="5">
        <f>'Round B1'!L40</f>
        <v>0.25</v>
      </c>
      <c r="N30" s="36">
        <f>'Round B1'!M40</f>
        <v>0</v>
      </c>
      <c r="O30" s="37">
        <f>'Round B1'!N40</f>
        <v>15</v>
      </c>
    </row>
    <row r="31" spans="1:23" ht="15" customHeight="1" x14ac:dyDescent="0.25">
      <c r="A31" s="938"/>
      <c r="B31" s="46">
        <v>47</v>
      </c>
      <c r="C31" s="49">
        <v>50.5</v>
      </c>
      <c r="D31" s="49">
        <v>214.5</v>
      </c>
      <c r="E31" s="135">
        <f t="shared" si="6"/>
        <v>214.5</v>
      </c>
      <c r="F31" s="15" t="e">
        <f>IF(OR(#REF!="", E31=""),"",(E31-#REF!*L31)^J31*(K31+E31*N31))</f>
        <v>#REF!</v>
      </c>
      <c r="G31" s="137">
        <f t="shared" si="7"/>
        <v>47.466159628518334</v>
      </c>
      <c r="H31" s="167">
        <v>47.44</v>
      </c>
      <c r="I31" s="215">
        <f t="shared" ref="I31:I38" si="8">(H31-G31)/H31</f>
        <v>-5.5142555898684371E-4</v>
      </c>
      <c r="J31" s="200">
        <f>'Round B1'!I41</f>
        <v>0.5</v>
      </c>
      <c r="K31" s="8">
        <f>'Round B1'!J41</f>
        <v>3.2409359420275905</v>
      </c>
      <c r="L31" s="5">
        <f>'Round B1'!K41</f>
        <v>0</v>
      </c>
      <c r="M31" s="5">
        <f>'Round B1'!L41</f>
        <v>0.1</v>
      </c>
      <c r="N31" s="36">
        <f>'Round B1'!M41</f>
        <v>0</v>
      </c>
      <c r="O31" s="37">
        <f>'Round B1'!N41</f>
        <v>10</v>
      </c>
    </row>
    <row r="32" spans="1:23" ht="15" customHeight="1" x14ac:dyDescent="0.25">
      <c r="A32" s="938"/>
      <c r="B32" s="6">
        <v>29</v>
      </c>
      <c r="C32" s="49">
        <v>50.5</v>
      </c>
      <c r="D32" s="49">
        <v>214.5</v>
      </c>
      <c r="E32" s="135">
        <f t="shared" si="6"/>
        <v>214.5</v>
      </c>
      <c r="F32" s="15" t="e">
        <f>IF(OR(#REF!="", E32=""),"",(E32-#REF!*L32)^J32*(K32+E32*N32))</f>
        <v>#REF!</v>
      </c>
      <c r="G32" s="137">
        <f t="shared" si="7"/>
        <v>17.620355217985768</v>
      </c>
      <c r="H32" s="167">
        <v>17.61</v>
      </c>
      <c r="I32" s="215">
        <f t="shared" si="8"/>
        <v>-5.8803055001525623E-4</v>
      </c>
      <c r="J32" s="200">
        <f>'Round B1'!I42</f>
        <v>0.502</v>
      </c>
      <c r="K32" s="8">
        <f>'Round B1'!J42</f>
        <v>1.1902499077349771</v>
      </c>
      <c r="L32" s="5">
        <f>'Round B1'!K42</f>
        <v>0</v>
      </c>
      <c r="M32" s="5">
        <f>'Round B1'!L42</f>
        <v>0.2</v>
      </c>
      <c r="N32" s="36">
        <f>'Round B1'!M42</f>
        <v>0</v>
      </c>
      <c r="O32" s="37">
        <f>'Round B1'!N42</f>
        <v>20</v>
      </c>
      <c r="Q32" s="30"/>
      <c r="R32" s="30"/>
      <c r="S32" s="30"/>
      <c r="T32" s="30"/>
    </row>
    <row r="33" spans="1:23" ht="15.75" customHeight="1" x14ac:dyDescent="0.25">
      <c r="A33" s="938"/>
      <c r="B33" s="6">
        <v>18</v>
      </c>
      <c r="C33" s="49">
        <v>50.5</v>
      </c>
      <c r="D33" s="49">
        <v>214.5</v>
      </c>
      <c r="E33" s="135">
        <f t="shared" si="6"/>
        <v>214.5</v>
      </c>
      <c r="F33" s="20" t="e">
        <f>IF(OR(#REF!="", E33=""),"",(E33-#REF!*L33)^J33*(K33+E33*N33))</f>
        <v>#REF!</v>
      </c>
      <c r="G33" s="147">
        <f t="shared" si="7"/>
        <v>6.6573044897500822</v>
      </c>
      <c r="H33" s="171">
        <v>6.6539999999999999</v>
      </c>
      <c r="I33" s="215">
        <f t="shared" si="8"/>
        <v>-4.9661703487860541E-4</v>
      </c>
      <c r="J33" s="647">
        <f>'Round B1'!I43</f>
        <v>0.499</v>
      </c>
      <c r="K33" s="5">
        <f>'Round B1'!J43</f>
        <v>0.45700000000000002</v>
      </c>
      <c r="L33" s="5">
        <f>'Round B1'!K43</f>
        <v>0</v>
      </c>
      <c r="M33" s="5">
        <f>'Round B1'!L43</f>
        <v>0.25</v>
      </c>
      <c r="N33" s="36">
        <f>'Round B1'!M43</f>
        <v>0</v>
      </c>
      <c r="O33" s="37">
        <f>'Round B1'!N43</f>
        <v>25</v>
      </c>
      <c r="Q33" s="30"/>
      <c r="R33" s="30"/>
      <c r="S33" s="30"/>
      <c r="T33" s="30"/>
    </row>
    <row r="34" spans="1:23" ht="15" customHeight="1" x14ac:dyDescent="0.25">
      <c r="A34" s="938"/>
      <c r="B34" s="47">
        <v>11</v>
      </c>
      <c r="C34" s="49">
        <v>50.5</v>
      </c>
      <c r="D34" s="49">
        <v>214.5</v>
      </c>
      <c r="E34" s="135">
        <f t="shared" si="6"/>
        <v>214.5</v>
      </c>
      <c r="F34" s="20" t="e">
        <f>IF(OR(#REF!="", E34=""),"",(E34-#REF!*L34)^J34*(K34+E34*N34))</f>
        <v>#REF!</v>
      </c>
      <c r="G34" s="147">
        <f t="shared" si="7"/>
        <v>2.7362037722154193</v>
      </c>
      <c r="H34" s="171">
        <v>2.7349999999999999</v>
      </c>
      <c r="I34" s="215">
        <f t="shared" si="8"/>
        <v>-4.4013609338919632E-4</v>
      </c>
      <c r="J34" s="200">
        <f>'Round B1'!I44</f>
        <v>0.48</v>
      </c>
      <c r="K34" s="4">
        <f>'Round B1'!J44</f>
        <v>0.20799999999999999</v>
      </c>
      <c r="L34" s="5">
        <f>'Round B1'!K44</f>
        <v>0</v>
      </c>
      <c r="M34" s="5">
        <f>'Round B1'!L44</f>
        <v>0.25</v>
      </c>
      <c r="N34" s="36">
        <f>'Round B1'!M44</f>
        <v>0</v>
      </c>
      <c r="O34" s="37">
        <f>'Round B1'!N44</f>
        <v>25</v>
      </c>
      <c r="Q34" s="30"/>
      <c r="R34" s="30"/>
      <c r="S34" s="30"/>
      <c r="T34" s="30"/>
    </row>
    <row r="35" spans="1:23" ht="15" customHeight="1" x14ac:dyDescent="0.25">
      <c r="A35" s="938"/>
      <c r="B35" s="6">
        <v>7</v>
      </c>
      <c r="C35" s="49">
        <v>50.5</v>
      </c>
      <c r="D35" s="49">
        <v>214.5</v>
      </c>
      <c r="E35" s="135">
        <f t="shared" si="6"/>
        <v>214.5</v>
      </c>
      <c r="F35" s="68" t="e">
        <f>IF(OR(#REF!="", E35=""),"",(E35-#REF!*L35)^J35*(K35+E35*N35))</f>
        <v>#REF!</v>
      </c>
      <c r="G35" s="147">
        <f t="shared" si="7"/>
        <v>1.0515697694399551</v>
      </c>
      <c r="H35" s="171">
        <v>1.0509999999999999</v>
      </c>
      <c r="I35" s="215">
        <f t="shared" si="8"/>
        <v>-5.4212125590402064E-4</v>
      </c>
      <c r="J35" s="200">
        <f>'Round B1'!I45</f>
        <v>0.5</v>
      </c>
      <c r="K35" s="5">
        <f>'Round B1'!J45</f>
        <v>7.1800000000000003E-2</v>
      </c>
      <c r="L35" s="5">
        <f>'Round B1'!K45</f>
        <v>0</v>
      </c>
      <c r="M35" s="5">
        <f>'Round B1'!L45</f>
        <v>0.11</v>
      </c>
      <c r="N35" s="36">
        <f>'Round B1'!M45</f>
        <v>0</v>
      </c>
      <c r="O35" s="37">
        <f>'Round B1'!N45</f>
        <v>25</v>
      </c>
      <c r="Q35" s="30"/>
      <c r="R35" s="30"/>
      <c r="S35" s="30"/>
      <c r="T35" s="30"/>
    </row>
    <row r="36" spans="1:23" ht="15" customHeight="1" x14ac:dyDescent="0.25">
      <c r="A36" s="938"/>
      <c r="B36" s="6">
        <v>3</v>
      </c>
      <c r="C36" s="49">
        <v>50.5</v>
      </c>
      <c r="D36" s="49">
        <v>214.5</v>
      </c>
      <c r="E36" s="135">
        <f t="shared" si="6"/>
        <v>214.5</v>
      </c>
      <c r="F36" s="68" t="e">
        <f>IF(OR(#REF!="", E36=""),"",(E36-#REF!*L36)^J36*(K36+E36*N36))</f>
        <v>#REF!</v>
      </c>
      <c r="G36" s="147">
        <f t="shared" si="7"/>
        <v>0.29187438979960378</v>
      </c>
      <c r="H36" s="172">
        <v>0.29170000000000001</v>
      </c>
      <c r="I36" s="215">
        <f t="shared" si="8"/>
        <v>-5.9783955983465581E-4</v>
      </c>
      <c r="J36" s="647">
        <f>'Round B1'!I46</f>
        <v>0.48499999999999999</v>
      </c>
      <c r="K36" s="42">
        <f>'Round B1'!J46</f>
        <v>2.1600000000000001E-2</v>
      </c>
      <c r="L36" s="5">
        <f>'Round B1'!K46</f>
        <v>0</v>
      </c>
      <c r="M36" s="5">
        <f>'Round B1'!L46</f>
        <v>0.3</v>
      </c>
      <c r="N36" s="36">
        <f>'Round B1'!M46</f>
        <v>0</v>
      </c>
      <c r="O36" s="37">
        <f>'Round B1'!N46</f>
        <v>25</v>
      </c>
      <c r="Q36" s="30"/>
      <c r="R36" s="30"/>
      <c r="S36" s="30"/>
      <c r="T36" s="30"/>
    </row>
    <row r="37" spans="1:23" ht="15" customHeight="1" x14ac:dyDescent="0.25">
      <c r="A37" s="938"/>
      <c r="B37" s="6">
        <v>2</v>
      </c>
      <c r="C37" s="49">
        <v>50.5</v>
      </c>
      <c r="D37" s="49">
        <v>214.5</v>
      </c>
      <c r="E37" s="135">
        <f t="shared" si="6"/>
        <v>214.5</v>
      </c>
      <c r="F37" s="68" t="e">
        <f>IF(OR(#REF!="", E37=""),"",(E37-#REF!*L37)^J37*(K37+E37*N37))</f>
        <v>#REF!</v>
      </c>
      <c r="G37" s="147">
        <f t="shared" si="7"/>
        <v>0.1118329609840918</v>
      </c>
      <c r="H37" s="172">
        <v>0.1118</v>
      </c>
      <c r="I37" s="215">
        <f t="shared" si="8"/>
        <v>-2.9482096683190154E-4</v>
      </c>
      <c r="J37" s="200">
        <f>'Round B1'!I47</f>
        <v>0.53</v>
      </c>
      <c r="K37" s="42">
        <f>'Round B1'!J47</f>
        <v>6.4999999999999997E-3</v>
      </c>
      <c r="L37" s="5">
        <f>'Round B1'!K47</f>
        <v>0</v>
      </c>
      <c r="M37" s="5">
        <f>'Round B1'!L47</f>
        <v>0.3</v>
      </c>
      <c r="N37" s="36">
        <f>'Round B1'!M47</f>
        <v>0</v>
      </c>
      <c r="O37" s="37">
        <f>'Round B1'!N47</f>
        <v>25</v>
      </c>
      <c r="Q37" s="30"/>
      <c r="R37" s="31"/>
      <c r="S37" s="30"/>
      <c r="T37" s="30"/>
    </row>
    <row r="38" spans="1:23" ht="15" customHeight="1" thickBot="1" x14ac:dyDescent="0.3">
      <c r="A38" s="939"/>
      <c r="B38" s="7">
        <v>1</v>
      </c>
      <c r="C38" s="50">
        <v>50.5</v>
      </c>
      <c r="D38" s="50">
        <v>214.5</v>
      </c>
      <c r="E38" s="136">
        <f t="shared" si="6"/>
        <v>214.5</v>
      </c>
      <c r="F38" s="21" t="e">
        <f>IF(OR(#REF!="", E38=""),"",(E38-#REF!*L38)^J38*(K38+E38*N38))</f>
        <v>#REF!</v>
      </c>
      <c r="G38" s="148">
        <f t="shared" si="7"/>
        <v>4.925770810127289E-2</v>
      </c>
      <c r="H38" s="173">
        <v>4.929E-2</v>
      </c>
      <c r="I38" s="216">
        <f t="shared" si="8"/>
        <v>6.5514097640718928E-4</v>
      </c>
      <c r="J38" s="648">
        <f>'Round B1'!I48</f>
        <v>0.59279999999999999</v>
      </c>
      <c r="K38" s="53">
        <f>'Round B1'!J48</f>
        <v>2.0436386114547761E-3</v>
      </c>
      <c r="L38" s="19">
        <f>'Round B1'!K48</f>
        <v>0</v>
      </c>
      <c r="M38" s="19">
        <f>'Round B1'!L48</f>
        <v>0.3</v>
      </c>
      <c r="N38" s="39">
        <f>'Round B1'!M48</f>
        <v>0</v>
      </c>
      <c r="O38" s="40">
        <f>'Round B1'!N48</f>
        <v>40</v>
      </c>
      <c r="Q38" s="30"/>
      <c r="R38" s="30"/>
      <c r="S38" s="30"/>
      <c r="T38" s="30"/>
      <c r="U38" s="30"/>
      <c r="V38" s="30"/>
    </row>
    <row r="39" spans="1:23" ht="15" customHeight="1" thickBot="1" x14ac:dyDescent="0.3">
      <c r="A39" s="33"/>
      <c r="C39" s="77"/>
      <c r="D39" s="79"/>
      <c r="E39" s="131"/>
      <c r="G39" s="139"/>
      <c r="H39" s="159"/>
      <c r="I39" s="159"/>
      <c r="J39" s="77"/>
      <c r="K39" s="79"/>
      <c r="L39" s="79"/>
      <c r="M39" s="79"/>
      <c r="N39" s="78"/>
      <c r="O39" s="78"/>
      <c r="Q39" s="30"/>
      <c r="R39" s="30"/>
      <c r="S39" s="30"/>
      <c r="T39" s="30"/>
      <c r="U39" s="30"/>
      <c r="V39" s="30"/>
    </row>
    <row r="40" spans="1:23" ht="15.75" customHeight="1" x14ac:dyDescent="0.25">
      <c r="A40" s="937">
        <v>450</v>
      </c>
      <c r="B40" s="146">
        <v>74</v>
      </c>
      <c r="C40" s="48">
        <v>50.9</v>
      </c>
      <c r="D40" s="48">
        <v>822</v>
      </c>
      <c r="E40" s="134">
        <f>IF(OR(C40="",D40="", D40&lt;0),"---",        IF(AND(C40&gt;0, D40&gt;=O40,D40&gt;=ABS(C40)*M40),D40,"---"))</f>
        <v>822</v>
      </c>
      <c r="F40" s="13" t="e">
        <f>IF(OR(#REF!="", E40=""),"",(E40-#REF!*L40)^J40*(K40+E40*N40))</f>
        <v>#REF!</v>
      </c>
      <c r="G40" s="138">
        <f t="shared" ref="G40:G49" si="9">IF(E40="---","---", (E40-ABS(C40)*L40)^J40*(K40+E40*N40))</f>
        <v>209.1851636638786</v>
      </c>
      <c r="H40" s="170">
        <v>209.2</v>
      </c>
      <c r="I40" s="214">
        <f>(H40-G40)/H40</f>
        <v>7.0919388725578463E-5</v>
      </c>
      <c r="J40" s="651">
        <f>'Round B1'!I50</f>
        <v>0.50449999999999995</v>
      </c>
      <c r="K40" s="99">
        <f>'Round B1'!J50</f>
        <v>7.0791000000000004</v>
      </c>
      <c r="L40" s="100">
        <f>'Round B1'!K50</f>
        <v>0</v>
      </c>
      <c r="M40" s="100">
        <f>'Round B1'!L50</f>
        <v>0.15</v>
      </c>
      <c r="N40" s="101">
        <f>'Round B1'!M50</f>
        <v>0</v>
      </c>
      <c r="O40" s="102">
        <f>'Round B1'!N50</f>
        <v>250</v>
      </c>
      <c r="P40" s="23" t="s">
        <v>36</v>
      </c>
      <c r="Q40" s="23"/>
      <c r="R40" s="23"/>
      <c r="S40" s="23"/>
      <c r="T40" s="23"/>
      <c r="U40" s="23"/>
      <c r="V40" s="23"/>
      <c r="W40" s="23"/>
    </row>
    <row r="41" spans="1:23" ht="15.75" customHeight="1" x14ac:dyDescent="0.25">
      <c r="A41" s="938"/>
      <c r="B41" s="45">
        <v>74</v>
      </c>
      <c r="C41" s="49">
        <v>-49.4</v>
      </c>
      <c r="D41" s="49">
        <v>753</v>
      </c>
      <c r="E41" s="135">
        <f>IF(OR(C41="",D41="", D41&lt;0),"---",        IF(AND(C41&lt;0, D41&gt;=O41,D41&gt;=ABS(C41)*M41),D41,"---"))</f>
        <v>753</v>
      </c>
      <c r="F41" s="15" t="e">
        <f>IF(OR(#REF!="", E41=""),"",(E41-#REF!*L41)^J41*(K41+E41*N41))</f>
        <v>#REF!</v>
      </c>
      <c r="G41" s="137">
        <f t="shared" si="9"/>
        <v>197.13454312729024</v>
      </c>
      <c r="H41" s="167">
        <v>197.1</v>
      </c>
      <c r="I41" s="215">
        <f t="shared" ref="I41:I49" si="10">(H41-G41)/H41</f>
        <v>-1.7525686093479846E-4</v>
      </c>
      <c r="J41" s="652">
        <f>'Round B1'!I51</f>
        <v>0.50449999999999995</v>
      </c>
      <c r="K41" s="218">
        <f>'Round B1'!J51</f>
        <v>6.9729999999999999</v>
      </c>
      <c r="L41" s="103">
        <f>'Round B1'!K51</f>
        <v>0</v>
      </c>
      <c r="M41" s="103">
        <f>'Round B1'!L51</f>
        <v>0.15</v>
      </c>
      <c r="N41" s="104">
        <f>'Round B1'!M51</f>
        <v>0</v>
      </c>
      <c r="O41" s="105">
        <f>'Round B1'!N51</f>
        <v>250</v>
      </c>
      <c r="P41" s="23" t="s">
        <v>37</v>
      </c>
      <c r="Q41" s="23"/>
      <c r="R41" s="23"/>
      <c r="S41" s="30"/>
      <c r="T41" s="30"/>
      <c r="U41" s="30"/>
      <c r="V41" s="30"/>
      <c r="W41" s="30"/>
    </row>
    <row r="42" spans="1:23" ht="15" customHeight="1" x14ac:dyDescent="0.25">
      <c r="A42" s="938"/>
      <c r="B42" s="46">
        <v>47</v>
      </c>
      <c r="C42" s="49">
        <v>50.9</v>
      </c>
      <c r="D42" s="49">
        <v>822</v>
      </c>
      <c r="E42" s="135">
        <f t="shared" ref="E42:E49" si="11">IF(OR(C42="",D42="", D42&lt;0),"---",        IF(AND(D42&gt;=O42,D42&gt;=ABS(C42)*M42),D42,"---"))</f>
        <v>822</v>
      </c>
      <c r="F42" s="15" t="e">
        <f>IF(OR(#REF!="", E42=""),"",(E42-#REF!*L42)^J42*(K42+E42*N42))</f>
        <v>#REF!</v>
      </c>
      <c r="G42" s="137">
        <f t="shared" si="9"/>
        <v>88.637762562533865</v>
      </c>
      <c r="H42" s="167">
        <v>85.64</v>
      </c>
      <c r="I42" s="215">
        <f t="shared" si="10"/>
        <v>-3.5004233565318364E-2</v>
      </c>
      <c r="J42" s="653">
        <f>'Round B1'!I52</f>
        <v>0.48799999999999999</v>
      </c>
      <c r="K42" s="222">
        <f>'Round B1'!J52</f>
        <v>3.3508990000000001</v>
      </c>
      <c r="L42" s="5">
        <f>'Round B1'!K52</f>
        <v>0</v>
      </c>
      <c r="M42" s="5">
        <f>'Round B1'!L52</f>
        <v>0.12</v>
      </c>
      <c r="N42" s="36">
        <f>'Round B1'!M52</f>
        <v>0</v>
      </c>
      <c r="O42" s="37">
        <f>'Round B1'!N52</f>
        <v>250</v>
      </c>
      <c r="R42" s="30"/>
      <c r="S42" s="30"/>
      <c r="T42" s="30"/>
      <c r="U42" s="30"/>
      <c r="V42" s="30"/>
    </row>
    <row r="43" spans="1:23" ht="15" customHeight="1" x14ac:dyDescent="0.25">
      <c r="A43" s="938"/>
      <c r="B43" s="6">
        <v>29</v>
      </c>
      <c r="C43" s="49">
        <v>50.9</v>
      </c>
      <c r="D43" s="49">
        <v>822</v>
      </c>
      <c r="E43" s="135">
        <f t="shared" si="11"/>
        <v>822</v>
      </c>
      <c r="F43" s="15" t="e">
        <f>IF(OR(#REF!="", E43=""),"",(E43-#REF!*L43)^J43*(K43+E43*N43))</f>
        <v>#REF!</v>
      </c>
      <c r="G43" s="137">
        <f t="shared" si="9"/>
        <v>32.233413448157442</v>
      </c>
      <c r="H43" s="167">
        <v>31.13</v>
      </c>
      <c r="I43" s="215">
        <f t="shared" si="10"/>
        <v>-3.544534044835989E-2</v>
      </c>
      <c r="J43" s="207">
        <f>'Round B1'!I53</f>
        <v>0.49890000000000001</v>
      </c>
      <c r="K43" s="8">
        <f>'Round B1'!J53</f>
        <v>1.1326004999999999</v>
      </c>
      <c r="L43" s="5">
        <f>'Round B1'!K53</f>
        <v>0</v>
      </c>
      <c r="M43" s="5">
        <f>'Round B1'!L53</f>
        <v>0.15</v>
      </c>
      <c r="N43" s="36">
        <f>'Round B1'!M53</f>
        <v>0</v>
      </c>
      <c r="O43" s="37">
        <f>'Round B1'!N53</f>
        <v>250</v>
      </c>
      <c r="R43" s="30"/>
      <c r="S43" s="30"/>
      <c r="T43" s="30"/>
      <c r="U43" s="30"/>
      <c r="V43" s="30"/>
    </row>
    <row r="44" spans="1:23" ht="15" customHeight="1" x14ac:dyDescent="0.25">
      <c r="A44" s="938"/>
      <c r="B44" s="6">
        <v>18</v>
      </c>
      <c r="C44" s="49">
        <v>50.9</v>
      </c>
      <c r="D44" s="49">
        <v>822</v>
      </c>
      <c r="E44" s="135">
        <f t="shared" si="11"/>
        <v>822</v>
      </c>
      <c r="F44" s="20" t="e">
        <f>IF(OR(#REF!="", E44=""),"",(E44-#REF!*L44)^J44*(K44+E44*N44))</f>
        <v>#REF!</v>
      </c>
      <c r="G44" s="147">
        <f t="shared" si="9"/>
        <v>12.293376796875728</v>
      </c>
      <c r="H44" s="167">
        <v>12.29</v>
      </c>
      <c r="I44" s="215">
        <f t="shared" si="10"/>
        <v>-2.7475971324078329E-4</v>
      </c>
      <c r="J44" s="207">
        <f>'Round B1'!I54</f>
        <v>0.49930000000000002</v>
      </c>
      <c r="K44" s="4">
        <f>'Round B1'!J54</f>
        <v>0.43080000000000002</v>
      </c>
      <c r="L44" s="5">
        <f>'Round B1'!K54</f>
        <v>0</v>
      </c>
      <c r="M44" s="5">
        <f>'Round B1'!L54</f>
        <v>0.15</v>
      </c>
      <c r="N44" s="36">
        <f>'Round B1'!M54</f>
        <v>0</v>
      </c>
      <c r="O44" s="37">
        <f>'Round B1'!N54</f>
        <v>250</v>
      </c>
    </row>
    <row r="45" spans="1:23" ht="15" customHeight="1" x14ac:dyDescent="0.25">
      <c r="A45" s="938"/>
      <c r="B45" s="47">
        <v>11</v>
      </c>
      <c r="C45" s="49">
        <v>50.9</v>
      </c>
      <c r="D45" s="49">
        <v>822</v>
      </c>
      <c r="E45" s="135">
        <f t="shared" si="11"/>
        <v>822</v>
      </c>
      <c r="F45" s="20" t="e">
        <f>IF(OR(#REF!="", E45=""),"",(E45-#REF!*L45)^J45*(K45+E45*N45))</f>
        <v>#REF!</v>
      </c>
      <c r="G45" s="147">
        <f t="shared" si="9"/>
        <v>4.8912103482015485</v>
      </c>
      <c r="H45" s="171">
        <v>4.891</v>
      </c>
      <c r="I45" s="215">
        <f t="shared" si="10"/>
        <v>-4.3007197208858507E-5</v>
      </c>
      <c r="J45" s="207">
        <f>'Round B1'!I55</f>
        <v>0.50219999999999998</v>
      </c>
      <c r="K45" s="4">
        <f>'Round B1'!J55</f>
        <v>0.1681</v>
      </c>
      <c r="L45" s="5">
        <f>'Round B1'!K55</f>
        <v>0</v>
      </c>
      <c r="M45" s="5">
        <f>'Round B1'!L55</f>
        <v>0.14000000000000001</v>
      </c>
      <c r="N45" s="36">
        <f>'Round B1'!M55</f>
        <v>0</v>
      </c>
      <c r="O45" s="37">
        <f>'Round B1'!N55</f>
        <v>250</v>
      </c>
    </row>
    <row r="46" spans="1:23" ht="15" customHeight="1" x14ac:dyDescent="0.25">
      <c r="A46" s="938"/>
      <c r="B46" s="6">
        <v>7</v>
      </c>
      <c r="C46" s="49">
        <v>50.9</v>
      </c>
      <c r="D46" s="49">
        <v>822</v>
      </c>
      <c r="E46" s="135">
        <f t="shared" si="11"/>
        <v>822</v>
      </c>
      <c r="F46" s="68" t="e">
        <f>IF(OR(#REF!="", E46=""),"",(E46-#REF!*L46)^J46*(K46+E46*N46))</f>
        <v>#REF!</v>
      </c>
      <c r="G46" s="147">
        <f t="shared" si="9"/>
        <v>1.9181428121203121</v>
      </c>
      <c r="H46" s="171">
        <v>1.9179999999999999</v>
      </c>
      <c r="I46" s="215">
        <f t="shared" si="10"/>
        <v>-7.445887398967509E-5</v>
      </c>
      <c r="J46" s="207">
        <f>'Round B1'!I56</f>
        <v>0.50090000000000001</v>
      </c>
      <c r="K46" s="42">
        <f>'Round B1'!J56</f>
        <v>6.6500000000000004E-2</v>
      </c>
      <c r="L46" s="5">
        <f>'Round B1'!K56</f>
        <v>0</v>
      </c>
      <c r="M46" s="5">
        <f>'Round B1'!L56</f>
        <v>0.08</v>
      </c>
      <c r="N46" s="36">
        <f>'Round B1'!M56</f>
        <v>0</v>
      </c>
      <c r="O46" s="37">
        <f>'Round B1'!N56</f>
        <v>250</v>
      </c>
    </row>
    <row r="47" spans="1:23" ht="15" customHeight="1" x14ac:dyDescent="0.25">
      <c r="A47" s="938"/>
      <c r="B47" s="6">
        <v>3</v>
      </c>
      <c r="C47" s="49">
        <v>50.9</v>
      </c>
      <c r="D47" s="49">
        <v>822</v>
      </c>
      <c r="E47" s="135">
        <f t="shared" si="11"/>
        <v>822</v>
      </c>
      <c r="F47" s="68" t="e">
        <f>IF(OR(#REF!="", E47=""),"",(E47-#REF!*L47)^J47*(K47+E47*N47))</f>
        <v>#REF!</v>
      </c>
      <c r="G47" s="147">
        <f t="shared" si="9"/>
        <v>0.5684837740100176</v>
      </c>
      <c r="H47" s="172">
        <v>0.56840000000000002</v>
      </c>
      <c r="I47" s="215">
        <f t="shared" si="10"/>
        <v>-1.4738566153690849E-4</v>
      </c>
      <c r="J47" s="207">
        <f>'Round B1'!I57</f>
        <v>0.55400000000000005</v>
      </c>
      <c r="K47" s="42">
        <f>'Round B1'!J57</f>
        <v>1.38E-2</v>
      </c>
      <c r="L47" s="5">
        <f>'Round B1'!K57</f>
        <v>0</v>
      </c>
      <c r="M47" s="5">
        <f>'Round B1'!L57</f>
        <v>0.1</v>
      </c>
      <c r="N47" s="36">
        <f>'Round B1'!M57</f>
        <v>0</v>
      </c>
      <c r="O47" s="37">
        <f>'Round B1'!N57</f>
        <v>250</v>
      </c>
    </row>
    <row r="48" spans="1:23" ht="15" customHeight="1" x14ac:dyDescent="0.25">
      <c r="A48" s="938"/>
      <c r="B48" s="6">
        <v>2</v>
      </c>
      <c r="C48" s="49">
        <v>50.9</v>
      </c>
      <c r="D48" s="49">
        <v>822</v>
      </c>
      <c r="E48" s="135">
        <f t="shared" si="11"/>
        <v>822</v>
      </c>
      <c r="F48" s="68" t="e">
        <f>IF(OR(#REF!="", E48=""),"",(E48-#REF!*L48)^J48*(K48+E48*N48))</f>
        <v>#REF!</v>
      </c>
      <c r="G48" s="147">
        <f t="shared" si="9"/>
        <v>0.22792681401907919</v>
      </c>
      <c r="H48" s="172">
        <v>0.22789999999999999</v>
      </c>
      <c r="I48" s="215">
        <f t="shared" si="10"/>
        <v>-1.1765695076435525E-4</v>
      </c>
      <c r="J48" s="200">
        <f>'Round B1'!I58</f>
        <v>0.53</v>
      </c>
      <c r="K48" s="42">
        <f>'Round B1'!J58</f>
        <v>6.4999999999999997E-3</v>
      </c>
      <c r="L48" s="5">
        <f>'Round B1'!K58</f>
        <v>0</v>
      </c>
      <c r="M48" s="5">
        <f>'Round B1'!L58</f>
        <v>0.12</v>
      </c>
      <c r="N48" s="36">
        <f>'Round B1'!M58</f>
        <v>0</v>
      </c>
      <c r="O48" s="37">
        <f>'Round B1'!N58</f>
        <v>350</v>
      </c>
    </row>
    <row r="49" spans="1:25" ht="15.75" customHeight="1" thickBot="1" x14ac:dyDescent="0.3">
      <c r="A49" s="939"/>
      <c r="B49" s="7">
        <v>1</v>
      </c>
      <c r="C49" s="50">
        <v>50.9</v>
      </c>
      <c r="D49" s="50">
        <v>822</v>
      </c>
      <c r="E49" s="136">
        <f t="shared" si="11"/>
        <v>822</v>
      </c>
      <c r="F49" s="21" t="e">
        <f>IF(OR(#REF!="", E49=""),"",(E49-#REF!*L49)^J49*(K49+E49*N49))</f>
        <v>#REF!</v>
      </c>
      <c r="G49" s="149">
        <f t="shared" si="9"/>
        <v>8.7489993698044138E-2</v>
      </c>
      <c r="H49" s="173">
        <v>8.7480000000000002E-2</v>
      </c>
      <c r="I49" s="216">
        <f t="shared" si="10"/>
        <v>-1.1423980388815946E-4</v>
      </c>
      <c r="J49" s="648">
        <f>'Round B1'!I59</f>
        <v>0.56000000000000005</v>
      </c>
      <c r="K49" s="38">
        <f>'Round B1'!J59</f>
        <v>2.0400000000000001E-3</v>
      </c>
      <c r="L49" s="19">
        <f>'Round B1'!K59</f>
        <v>0</v>
      </c>
      <c r="M49" s="19">
        <f>'Round B1'!L59</f>
        <v>0.12</v>
      </c>
      <c r="N49" s="39">
        <f>'Round B1'!M59</f>
        <v>0</v>
      </c>
      <c r="O49" s="40">
        <f>'Round B1'!N59</f>
        <v>350</v>
      </c>
    </row>
    <row r="50" spans="1:25" ht="15.75" customHeight="1" x14ac:dyDescent="0.25">
      <c r="I50" s="30"/>
    </row>
    <row r="51" spans="1:25" ht="15.75" customHeight="1" x14ac:dyDescent="0.25"/>
    <row r="52" spans="1:25" ht="15.75" customHeight="1" thickBot="1" x14ac:dyDescent="0.3">
      <c r="G52" s="30"/>
      <c r="H52" s="30"/>
      <c r="I52" s="30"/>
      <c r="J52" s="30"/>
      <c r="K52" s="30"/>
      <c r="L52" s="30"/>
      <c r="M52" s="30"/>
      <c r="N52" s="30"/>
      <c r="O52" s="30"/>
    </row>
    <row r="53" spans="1:25" ht="39.75" customHeight="1" thickBot="1" x14ac:dyDescent="0.3">
      <c r="C53" s="944" t="s">
        <v>28</v>
      </c>
      <c r="D53" s="945"/>
      <c r="E53" s="144" t="s">
        <v>38</v>
      </c>
      <c r="G53" s="966"/>
      <c r="H53" s="966"/>
      <c r="I53" s="966"/>
      <c r="J53" s="966"/>
      <c r="K53" s="966"/>
      <c r="L53" s="966"/>
      <c r="M53" s="966"/>
      <c r="N53" s="966"/>
      <c r="O53" s="966"/>
    </row>
    <row r="54" spans="1:25" ht="59.25" customHeight="1" thickBot="1" x14ac:dyDescent="0.35">
      <c r="C54" s="80" t="s">
        <v>34</v>
      </c>
      <c r="D54" s="81" t="s">
        <v>30</v>
      </c>
      <c r="E54" s="126" t="s">
        <v>40</v>
      </c>
      <c r="F54" s="140" t="s">
        <v>27</v>
      </c>
      <c r="G54" s="115" t="s">
        <v>26</v>
      </c>
      <c r="H54" s="164" t="s">
        <v>45</v>
      </c>
      <c r="I54" s="196" t="s">
        <v>46</v>
      </c>
      <c r="J54" s="127" t="s">
        <v>1</v>
      </c>
      <c r="K54" s="128" t="s">
        <v>0</v>
      </c>
      <c r="L54" s="128" t="s">
        <v>19</v>
      </c>
      <c r="M54" s="128" t="s">
        <v>20</v>
      </c>
      <c r="N54" s="128" t="s">
        <v>21</v>
      </c>
      <c r="O54" s="128" t="s">
        <v>22</v>
      </c>
      <c r="P54" s="128" t="s">
        <v>23</v>
      </c>
      <c r="Q54" s="128" t="s">
        <v>24</v>
      </c>
      <c r="R54" s="197" t="s">
        <v>25</v>
      </c>
      <c r="S54" s="129" t="s">
        <v>6</v>
      </c>
    </row>
    <row r="55" spans="1:25" ht="15" customHeight="1" x14ac:dyDescent="0.25">
      <c r="A55" s="937">
        <v>4000</v>
      </c>
      <c r="B55" s="90" t="s">
        <v>4</v>
      </c>
      <c r="C55" s="74">
        <v>59.2</v>
      </c>
      <c r="D55" s="74">
        <v>267.5</v>
      </c>
      <c r="E55" s="134">
        <f t="shared" ref="E55:E62" si="12">IF(OR(C55="",D55="",D55&lt;0),"",        IF(AND(C55&gt;=0,D55&gt;=S55, D55&gt;=ABS(C55)*R55),D55,         IF(AND(C55&lt;0, (ABS(D55)-ABS(C55))&gt;=S55, (ABS(D55)-ABS(C55))&gt;=ABS(C55)*R55),(ABS(D55)-ABS(C55)),"---")))</f>
        <v>267.5</v>
      </c>
      <c r="F55" s="13" t="e">
        <f>IF(OR(#REF!="", E55=""),"",E55^J55*K55)</f>
        <v>#REF!</v>
      </c>
      <c r="G55" s="118">
        <f t="shared" ref="G55:G60" si="13">IF(E55="---","---", E55^J55*K55)</f>
        <v>8703.5037453754721</v>
      </c>
      <c r="H55" s="165">
        <v>8703</v>
      </c>
      <c r="I55" s="214">
        <f>(H55-G55)/H55</f>
        <v>-5.7881808051492069E-5</v>
      </c>
      <c r="J55" s="198">
        <f>'Round B1'!I78</f>
        <v>0.53</v>
      </c>
      <c r="K55" s="190">
        <f>'Round B1'!J78</f>
        <v>450</v>
      </c>
      <c r="L55" s="191"/>
      <c r="M55" s="191"/>
      <c r="N55" s="192"/>
      <c r="O55" s="193"/>
      <c r="P55" s="193"/>
      <c r="Q55" s="193"/>
      <c r="R55" s="199">
        <f>'Round B1'!Q78</f>
        <v>0.2</v>
      </c>
      <c r="S55" s="194">
        <f>'Round B1'!R78</f>
        <v>10</v>
      </c>
      <c r="T55" s="108" t="s">
        <v>42</v>
      </c>
      <c r="U55" s="108"/>
      <c r="V55" s="108"/>
      <c r="W55" s="108"/>
      <c r="X55" s="30"/>
    </row>
    <row r="56" spans="1:25" ht="15" customHeight="1" x14ac:dyDescent="0.25">
      <c r="A56" s="938"/>
      <c r="B56" s="174" t="s">
        <v>4</v>
      </c>
      <c r="C56" s="75">
        <v>-53.8</v>
      </c>
      <c r="D56" s="75">
        <v>149</v>
      </c>
      <c r="E56" s="135">
        <f t="shared" si="12"/>
        <v>95.2</v>
      </c>
      <c r="F56" s="15"/>
      <c r="G56" s="119">
        <f t="shared" si="13"/>
        <v>5033.7320786299133</v>
      </c>
      <c r="H56" s="166">
        <v>5038</v>
      </c>
      <c r="I56" s="215">
        <f t="shared" ref="I56:I61" si="14">(H56-G56)/H56</f>
        <v>8.4714596468572778E-4</v>
      </c>
      <c r="J56" s="200">
        <f>'Round B1'!I78</f>
        <v>0.53</v>
      </c>
      <c r="K56" s="5">
        <f>'Round B1'!J78</f>
        <v>450</v>
      </c>
      <c r="L56" s="4"/>
      <c r="M56" s="4"/>
      <c r="N56" s="4"/>
      <c r="O56" s="87"/>
      <c r="P56" s="87"/>
      <c r="Q56" s="87"/>
      <c r="R56" s="201">
        <f>'Round B1'!Q78</f>
        <v>0.2</v>
      </c>
      <c r="S56" s="37">
        <f>'Round B1'!R78</f>
        <v>10</v>
      </c>
      <c r="T56" s="108" t="s">
        <v>42</v>
      </c>
      <c r="U56" s="108"/>
      <c r="V56" s="108"/>
      <c r="W56" s="108"/>
      <c r="X56" s="30"/>
    </row>
    <row r="57" spans="1:25" ht="15" customHeight="1" x14ac:dyDescent="0.25">
      <c r="A57" s="938"/>
      <c r="B57" s="91" t="s">
        <v>11</v>
      </c>
      <c r="C57" s="75">
        <v>59.2</v>
      </c>
      <c r="D57" s="75">
        <v>267.5</v>
      </c>
      <c r="E57" s="135">
        <f t="shared" si="12"/>
        <v>267.5</v>
      </c>
      <c r="F57" s="15" t="e">
        <f>IF(OR(#REF!="", E57=""),"",E57^J57*K57)</f>
        <v>#REF!</v>
      </c>
      <c r="G57" s="119">
        <f t="shared" si="13"/>
        <v>4512.0436364456527</v>
      </c>
      <c r="H57" s="166">
        <v>4512</v>
      </c>
      <c r="I57" s="215">
        <f t="shared" si="14"/>
        <v>-9.6711980613335924E-6</v>
      </c>
      <c r="J57" s="202">
        <f>'Round B1'!I79</f>
        <v>0.48499999999999999</v>
      </c>
      <c r="K57" s="56">
        <f>'Round B1'!J79</f>
        <v>300</v>
      </c>
      <c r="L57" s="175"/>
      <c r="M57" s="175"/>
      <c r="N57" s="176"/>
      <c r="O57" s="177"/>
      <c r="P57" s="177"/>
      <c r="Q57" s="177"/>
      <c r="R57" s="203">
        <f>'Round B1'!Q79</f>
        <v>0.2</v>
      </c>
      <c r="S57" s="178">
        <f>'Round B1'!R79</f>
        <v>20</v>
      </c>
      <c r="T57" s="108" t="s">
        <v>42</v>
      </c>
      <c r="U57" s="108"/>
      <c r="V57" s="108"/>
      <c r="W57" s="108"/>
      <c r="X57" s="30"/>
    </row>
    <row r="58" spans="1:25" ht="15" customHeight="1" x14ac:dyDescent="0.25">
      <c r="A58" s="938"/>
      <c r="B58" s="91" t="s">
        <v>11</v>
      </c>
      <c r="C58" s="75">
        <v>-49.6</v>
      </c>
      <c r="D58" s="75">
        <v>176.5</v>
      </c>
      <c r="E58" s="135">
        <f t="shared" si="12"/>
        <v>126.9</v>
      </c>
      <c r="F58" s="15"/>
      <c r="G58" s="119">
        <f t="shared" si="13"/>
        <v>3142.6798533477213</v>
      </c>
      <c r="H58" s="166">
        <v>3144</v>
      </c>
      <c r="I58" s="215">
        <f t="shared" si="14"/>
        <v>4.1989397337109056E-4</v>
      </c>
      <c r="J58" s="200">
        <f>'Round B1'!I79</f>
        <v>0.48499999999999999</v>
      </c>
      <c r="K58" s="5">
        <f>'Round B1'!J79</f>
        <v>300</v>
      </c>
      <c r="L58" s="4"/>
      <c r="M58" s="4"/>
      <c r="N58" s="94"/>
      <c r="O58" s="87"/>
      <c r="P58" s="87"/>
      <c r="Q58" s="87"/>
      <c r="R58" s="201">
        <f>'Round B1'!Q79</f>
        <v>0.2</v>
      </c>
      <c r="S58" s="37">
        <f>'Round B1'!R79</f>
        <v>20</v>
      </c>
      <c r="T58" s="108" t="s">
        <v>42</v>
      </c>
      <c r="U58" s="108"/>
      <c r="V58" s="108"/>
      <c r="W58" s="108"/>
      <c r="X58" s="30"/>
    </row>
    <row r="59" spans="1:25" ht="15" customHeight="1" x14ac:dyDescent="0.25">
      <c r="A59" s="938"/>
      <c r="B59" s="92" t="s">
        <v>12</v>
      </c>
      <c r="C59" s="75">
        <v>59.2</v>
      </c>
      <c r="D59" s="75">
        <v>267.5</v>
      </c>
      <c r="E59" s="135">
        <f t="shared" si="12"/>
        <v>267.5</v>
      </c>
      <c r="F59" s="15" t="e">
        <f>IF(OR(#REF!="", E59=""),"",E59^J59*K59)</f>
        <v>#REF!</v>
      </c>
      <c r="G59" s="119">
        <f t="shared" si="13"/>
        <v>2322.8014574539729</v>
      </c>
      <c r="H59" s="166">
        <v>2323</v>
      </c>
      <c r="I59" s="215">
        <f t="shared" si="14"/>
        <v>8.5468164454178318E-5</v>
      </c>
      <c r="J59" s="200">
        <f>'Round B1'!I80</f>
        <v>0.52</v>
      </c>
      <c r="K59" s="5">
        <f>'Round B1'!J80</f>
        <v>127</v>
      </c>
      <c r="L59" s="95"/>
      <c r="M59" s="95"/>
      <c r="N59" s="96"/>
      <c r="O59" s="97"/>
      <c r="P59" s="97"/>
      <c r="Q59" s="97"/>
      <c r="R59" s="204">
        <f>'Round B1'!Q80</f>
        <v>0.2</v>
      </c>
      <c r="S59" s="37">
        <f>'Round B1'!R80</f>
        <v>15</v>
      </c>
      <c r="T59" s="108" t="s">
        <v>42</v>
      </c>
      <c r="U59" s="108"/>
      <c r="V59" s="108"/>
      <c r="W59" s="108"/>
      <c r="X59" s="30"/>
      <c r="Y59" s="98"/>
    </row>
    <row r="60" spans="1:25" ht="15" customHeight="1" x14ac:dyDescent="0.25">
      <c r="A60" s="938"/>
      <c r="B60" s="92" t="s">
        <v>12</v>
      </c>
      <c r="C60" s="75">
        <v>-49.6</v>
      </c>
      <c r="D60" s="75">
        <v>176.5</v>
      </c>
      <c r="E60" s="135">
        <f t="shared" si="12"/>
        <v>126.9</v>
      </c>
      <c r="F60" s="15"/>
      <c r="G60" s="119">
        <f t="shared" si="13"/>
        <v>1576.1725670981534</v>
      </c>
      <c r="H60" s="166">
        <v>1577</v>
      </c>
      <c r="I60" s="215">
        <f t="shared" si="14"/>
        <v>5.2468795297817231E-4</v>
      </c>
      <c r="J60" s="205">
        <f>'Round B1'!I80</f>
        <v>0.52</v>
      </c>
      <c r="K60" s="162">
        <f>'Round B1'!J80</f>
        <v>127</v>
      </c>
      <c r="L60" s="179"/>
      <c r="M60" s="179"/>
      <c r="N60" s="180"/>
      <c r="O60" s="181"/>
      <c r="P60" s="181"/>
      <c r="Q60" s="181"/>
      <c r="R60" s="206">
        <f>'Round B1'!Q80</f>
        <v>0.2</v>
      </c>
      <c r="S60" s="163">
        <f>'Round B1'!R80</f>
        <v>15</v>
      </c>
      <c r="T60" s="108" t="s">
        <v>42</v>
      </c>
      <c r="U60" s="108"/>
      <c r="V60" s="108"/>
      <c r="W60" s="108"/>
      <c r="X60" s="30"/>
      <c r="Y60" s="98"/>
    </row>
    <row r="61" spans="1:25" ht="15" customHeight="1" x14ac:dyDescent="0.25">
      <c r="A61" s="938"/>
      <c r="B61" s="92" t="s">
        <v>13</v>
      </c>
      <c r="C61" s="75">
        <v>59.2</v>
      </c>
      <c r="D61" s="75">
        <v>267.5</v>
      </c>
      <c r="E61" s="135">
        <f t="shared" si="12"/>
        <v>267.5</v>
      </c>
      <c r="F61" s="15"/>
      <c r="G61" s="119">
        <f>IF(E61="---","---", E61^3*N61+E61^2*O61+E61*P61+Q61+(L61-ABS(C61))*M61)</f>
        <v>1002.7616353124999</v>
      </c>
      <c r="H61" s="166">
        <v>1003</v>
      </c>
      <c r="I61" s="215">
        <f t="shared" si="14"/>
        <v>2.3765173230314281E-4</v>
      </c>
      <c r="J61" s="207"/>
      <c r="K61" s="8"/>
      <c r="L61" s="5">
        <f>'Round B1'!K81</f>
        <v>0</v>
      </c>
      <c r="M61" s="9">
        <f>'Round B1'!L81</f>
        <v>0.7</v>
      </c>
      <c r="N61" s="195">
        <f>'Round B1'!M81</f>
        <v>6.6200000000000001E-6</v>
      </c>
      <c r="O61" s="85">
        <f>'Round B1'!N81</f>
        <v>-7.7999999999999996E-3</v>
      </c>
      <c r="P61" s="86">
        <f>'Round B1'!O81</f>
        <v>4.75</v>
      </c>
      <c r="Q61" s="60">
        <f>'Round B1'!P81</f>
        <v>205</v>
      </c>
      <c r="R61" s="201">
        <f>'Round B1'!Q81</f>
        <v>0.2</v>
      </c>
      <c r="S61" s="37">
        <f>'Round B1'!R81</f>
        <v>25</v>
      </c>
      <c r="T61" s="109" t="s">
        <v>41</v>
      </c>
      <c r="U61" s="108"/>
      <c r="V61" s="108"/>
      <c r="W61" s="108"/>
      <c r="X61" s="30"/>
      <c r="Y61" s="98"/>
    </row>
    <row r="62" spans="1:25" ht="15" customHeight="1" thickBot="1" x14ac:dyDescent="0.3">
      <c r="A62" s="939"/>
      <c r="B62" s="93" t="s">
        <v>13</v>
      </c>
      <c r="C62" s="75">
        <v>-49.6</v>
      </c>
      <c r="D62" s="75">
        <v>176.5</v>
      </c>
      <c r="E62" s="136">
        <f t="shared" si="12"/>
        <v>126.9</v>
      </c>
      <c r="F62" s="130" t="e">
        <f>IF(OR(#REF!="", E62=""),"",E62^3*N62+E62^2*O62+E62*P62+Q62+(L62-#REF!)*M62)</f>
        <v>#REF!</v>
      </c>
      <c r="G62" s="123">
        <f>IF(E62="---","---", E62^3*N62+E62^2*O62+E62*P62+Q62+(L62-ABS(C62))*M62)</f>
        <v>660.97513048157998</v>
      </c>
      <c r="H62" s="169">
        <v>661.4</v>
      </c>
      <c r="I62" s="216">
        <f>(H62-G62)/H62</f>
        <v>6.4237907230117329E-4</v>
      </c>
      <c r="J62" s="208"/>
      <c r="K62" s="182"/>
      <c r="L62" s="183">
        <f>'Round B1'!K81</f>
        <v>0</v>
      </c>
      <c r="M62" s="184">
        <f>'Round B1'!L81</f>
        <v>0.7</v>
      </c>
      <c r="N62" s="185">
        <f>'Round B1'!M81</f>
        <v>6.6200000000000001E-6</v>
      </c>
      <c r="O62" s="186">
        <f>'Round B1'!N81</f>
        <v>-7.7999999999999996E-3</v>
      </c>
      <c r="P62" s="187">
        <f>'Round B1'!O81</f>
        <v>4.75</v>
      </c>
      <c r="Q62" s="188">
        <f>'Round B1'!P81</f>
        <v>205</v>
      </c>
      <c r="R62" s="209">
        <f>'Round B1'!Q81</f>
        <v>0.2</v>
      </c>
      <c r="S62" s="189">
        <f>'Round B1'!R81</f>
        <v>25</v>
      </c>
      <c r="T62" s="109" t="s">
        <v>41</v>
      </c>
      <c r="U62" s="108"/>
      <c r="V62" s="108"/>
      <c r="W62" s="108"/>
      <c r="X62" s="30"/>
      <c r="Y62" s="98"/>
    </row>
    <row r="63" spans="1:25" ht="15.75" customHeight="1" thickBot="1" x14ac:dyDescent="0.3">
      <c r="A63" s="33"/>
      <c r="B63" s="6"/>
      <c r="C63" s="142"/>
      <c r="D63" s="143"/>
      <c r="E63" s="131" t="str">
        <f t="shared" ref="E63:E82" si="15">IF(OR(C63="",D63="",D63&lt;0),"",        IF(AND(C63&lt;=0,D63&gt;=S63, D63&gt;=ABS(C63)*R63),D63,         IF(AND(C63&gt;0, (ABS(D63)-C63)&gt;=S63, (ABS(D63)-C63)&gt;=ABS(C63)*R63),(ABS(D63)-C63),"---")))</f>
        <v/>
      </c>
      <c r="F63" s="15" t="e">
        <f>IF(OR(#REF!="", E63=""),"",E63^3*N63+E63^2*O63+E63*P63+Q63+(L63-#REF!)*M63)</f>
        <v>#REF!</v>
      </c>
      <c r="G63" s="141"/>
      <c r="H63" s="141"/>
      <c r="I63" s="141"/>
      <c r="J63" s="70"/>
      <c r="K63" s="71"/>
      <c r="L63" s="69"/>
      <c r="M63" s="69" t="s">
        <v>47</v>
      </c>
      <c r="N63" s="69"/>
      <c r="O63" s="72"/>
      <c r="P63" s="72"/>
      <c r="Q63" s="72"/>
      <c r="R63" s="72"/>
      <c r="S63" s="125"/>
      <c r="X63" s="30"/>
    </row>
    <row r="64" spans="1:25" ht="15.75" customHeight="1" x14ac:dyDescent="0.25">
      <c r="A64" s="937">
        <v>5000</v>
      </c>
      <c r="B64" s="44" t="s">
        <v>4</v>
      </c>
      <c r="C64" s="75">
        <v>56.2</v>
      </c>
      <c r="D64" s="82">
        <v>98.2</v>
      </c>
      <c r="E64" s="134">
        <f>IF(OR(C64="",D64="",D64&lt;0),"",        IF(AND(C64&lt;=0,D64&gt;=S64, D64&gt;=ABS(C64)*R64),D64,         IF(AND(C64&gt;0, (ABS(D64)-C64)&gt;=S64, (ABS(D64)-C64)&gt;=ABS(C64)*R64),(ABS(D64)-C64),"---")))</f>
        <v>42</v>
      </c>
      <c r="F64" s="13" t="e">
        <f>IF(OR(#REF!="", E64=""),"",E64^J64*K64)</f>
        <v>#REF!</v>
      </c>
      <c r="G64" s="118">
        <f t="shared" ref="G64:G69" si="16">IF(E64="---","---", E64^J64*K64)</f>
        <v>3647.9310219134336</v>
      </c>
      <c r="H64" s="165">
        <v>3527</v>
      </c>
      <c r="I64" s="211">
        <f>(H64-G64)/H64</f>
        <v>-3.4287219141886476E-2</v>
      </c>
      <c r="J64" s="124">
        <f>'Round B1'!I87</f>
        <v>0.52139999999999997</v>
      </c>
      <c r="K64" s="61">
        <f>'Round B1'!J87</f>
        <v>519.61829999999998</v>
      </c>
      <c r="L64" s="16"/>
      <c r="M64" s="16"/>
      <c r="N64" s="34"/>
      <c r="O64" s="62"/>
      <c r="P64" s="62"/>
      <c r="Q64" s="62"/>
      <c r="R64" s="64">
        <f>'Round B1'!Q100</f>
        <v>0.3</v>
      </c>
      <c r="S64" s="35">
        <f>'Round B1'!R100</f>
        <v>10</v>
      </c>
      <c r="T64" s="108" t="s">
        <v>42</v>
      </c>
      <c r="U64" s="108"/>
      <c r="V64" s="108"/>
      <c r="W64" s="108"/>
      <c r="X64" s="30"/>
    </row>
    <row r="65" spans="1:24" ht="15.75" customHeight="1" x14ac:dyDescent="0.25">
      <c r="A65" s="938"/>
      <c r="B65" s="6" t="s">
        <v>4</v>
      </c>
      <c r="C65" s="75">
        <v>-56.2</v>
      </c>
      <c r="D65" s="75">
        <v>98.2</v>
      </c>
      <c r="E65" s="135">
        <f>IF(OR(C65="",D65="",D65&lt;0),"",        IF(AND(C65&lt;=0,D65&gt;=S65, D65&gt;=ABS(C65)*R65),D65,         IF(AND(C65&gt;0, (ABS(D65)-C65)&gt;=S65, (ABS(D65)-C65)&gt;=ABS(C65)*R65),(ABS(D65)-C65),"---")))</f>
        <v>98.2</v>
      </c>
      <c r="F65" s="15"/>
      <c r="G65" s="119">
        <f t="shared" si="16"/>
        <v>5680.3012328687746</v>
      </c>
      <c r="H65" s="166">
        <v>5406</v>
      </c>
      <c r="I65" s="212">
        <f t="shared" ref="I65:I81" si="17">(H65-G65)/H65</f>
        <v>-5.0740146664590195E-2</v>
      </c>
      <c r="J65" s="113">
        <f>'Round B1'!I87</f>
        <v>0.52139999999999997</v>
      </c>
      <c r="K65" s="59">
        <f>'Round B1'!J87</f>
        <v>519.61829999999998</v>
      </c>
      <c r="L65" s="5"/>
      <c r="M65" s="5"/>
      <c r="N65" s="36"/>
      <c r="O65" s="60"/>
      <c r="P65" s="60"/>
      <c r="Q65" s="60"/>
      <c r="R65" s="65">
        <f>'Round B1'!Q100</f>
        <v>0.3</v>
      </c>
      <c r="S65" s="37">
        <f>'Round B1'!R100</f>
        <v>10</v>
      </c>
      <c r="T65" s="108" t="s">
        <v>42</v>
      </c>
      <c r="U65" s="108"/>
      <c r="V65" s="108"/>
      <c r="W65" s="108"/>
      <c r="X65" s="30"/>
    </row>
    <row r="66" spans="1:24" ht="17.25" x14ac:dyDescent="0.25">
      <c r="A66" s="938"/>
      <c r="B66" s="47" t="s">
        <v>11</v>
      </c>
      <c r="C66" s="75">
        <v>56.2</v>
      </c>
      <c r="D66" s="82">
        <v>98.2</v>
      </c>
      <c r="E66" s="135">
        <f t="shared" si="15"/>
        <v>42</v>
      </c>
      <c r="F66" s="15" t="e">
        <f>IF(OR(#REF!="", E66=""),"",E66^J66*K66)</f>
        <v>#REF!</v>
      </c>
      <c r="G66" s="119">
        <f t="shared" si="16"/>
        <v>1873.9286044702774</v>
      </c>
      <c r="H66" s="166">
        <v>1875</v>
      </c>
      <c r="I66" s="212">
        <f t="shared" si="17"/>
        <v>5.7141094918539842E-4</v>
      </c>
      <c r="J66" s="113">
        <f>'Round B1'!I101</f>
        <v>0.502</v>
      </c>
      <c r="K66" s="59">
        <f>'Round B1'!J101</f>
        <v>287</v>
      </c>
      <c r="L66" s="5"/>
      <c r="M66" s="5"/>
      <c r="N66" s="36"/>
      <c r="O66" s="60"/>
      <c r="P66" s="60"/>
      <c r="Q66" s="60"/>
      <c r="R66" s="65">
        <f>'Round B1'!Q101</f>
        <v>0.4</v>
      </c>
      <c r="S66" s="37">
        <f>'Round B1'!R101</f>
        <v>20</v>
      </c>
      <c r="T66" s="108" t="s">
        <v>42</v>
      </c>
      <c r="U66" s="108"/>
      <c r="V66" s="108"/>
      <c r="W66" s="108"/>
      <c r="X66" s="30"/>
    </row>
    <row r="67" spans="1:24" ht="17.25" x14ac:dyDescent="0.25">
      <c r="A67" s="938"/>
      <c r="B67" s="47" t="s">
        <v>11</v>
      </c>
      <c r="C67" s="75">
        <v>-54.2</v>
      </c>
      <c r="D67" s="75">
        <v>99.1</v>
      </c>
      <c r="E67" s="135">
        <f t="shared" si="15"/>
        <v>99.1</v>
      </c>
      <c r="F67" s="15"/>
      <c r="G67" s="119">
        <f t="shared" si="16"/>
        <v>2883.4396843125428</v>
      </c>
      <c r="H67" s="166">
        <v>2884</v>
      </c>
      <c r="I67" s="212">
        <f t="shared" si="17"/>
        <v>1.9428421895187415E-4</v>
      </c>
      <c r="J67" s="113">
        <f>'Round B1'!I101</f>
        <v>0.502</v>
      </c>
      <c r="K67" s="59">
        <f>'Round B1'!J101</f>
        <v>287</v>
      </c>
      <c r="L67" s="5"/>
      <c r="M67" s="5"/>
      <c r="N67" s="36"/>
      <c r="O67" s="60"/>
      <c r="P67" s="60"/>
      <c r="Q67" s="60"/>
      <c r="R67" s="65">
        <f>'Round B1'!Q101</f>
        <v>0.4</v>
      </c>
      <c r="S67" s="37">
        <f>'Round B1'!R101</f>
        <v>20</v>
      </c>
      <c r="T67" s="108" t="s">
        <v>42</v>
      </c>
      <c r="U67" s="108"/>
      <c r="V67" s="108"/>
      <c r="W67" s="108"/>
      <c r="X67" s="30"/>
    </row>
    <row r="68" spans="1:24" ht="17.25" x14ac:dyDescent="0.25">
      <c r="A68" s="938"/>
      <c r="B68" s="46" t="s">
        <v>12</v>
      </c>
      <c r="C68" s="75">
        <v>56.2</v>
      </c>
      <c r="D68" s="82">
        <v>98.2</v>
      </c>
      <c r="E68" s="135">
        <f t="shared" si="15"/>
        <v>42</v>
      </c>
      <c r="F68" s="15" t="e">
        <f>IF(OR(#REF!="", E68=""),"",E68^J68*K68)</f>
        <v>#REF!</v>
      </c>
      <c r="G68" s="119">
        <f t="shared" si="16"/>
        <v>852.30066539761197</v>
      </c>
      <c r="H68" s="166">
        <v>852.8</v>
      </c>
      <c r="I68" s="212">
        <f t="shared" si="17"/>
        <v>5.8552368947934971E-4</v>
      </c>
      <c r="J68" s="113">
        <f>'Round B1'!I102</f>
        <v>0.54</v>
      </c>
      <c r="K68" s="9">
        <f>'Round B1'!J102</f>
        <v>113.25</v>
      </c>
      <c r="L68" s="5"/>
      <c r="M68" s="5"/>
      <c r="N68" s="36"/>
      <c r="O68" s="60"/>
      <c r="P68" s="60"/>
      <c r="Q68" s="60"/>
      <c r="R68" s="65">
        <f>'Round B1'!Q102</f>
        <v>0.7</v>
      </c>
      <c r="S68" s="37">
        <f>'Round B1'!R102</f>
        <v>40</v>
      </c>
      <c r="T68" s="108" t="s">
        <v>42</v>
      </c>
      <c r="U68" s="108"/>
      <c r="V68" s="108"/>
      <c r="W68" s="108"/>
      <c r="X68" s="30"/>
    </row>
    <row r="69" spans="1:24" ht="17.25" x14ac:dyDescent="0.25">
      <c r="A69" s="938"/>
      <c r="B69" s="46" t="s">
        <v>12</v>
      </c>
      <c r="C69" s="75">
        <v>-54.2</v>
      </c>
      <c r="D69" s="75">
        <v>99.1</v>
      </c>
      <c r="E69" s="135">
        <f t="shared" si="15"/>
        <v>99.1</v>
      </c>
      <c r="F69" s="15"/>
      <c r="G69" s="119">
        <f t="shared" si="16"/>
        <v>1354.9335109287117</v>
      </c>
      <c r="H69" s="217">
        <v>1355</v>
      </c>
      <c r="I69" s="212">
        <f>(H69-G69)/H69</f>
        <v>4.9069425305009568E-5</v>
      </c>
      <c r="J69" s="113">
        <f>'Round B1'!I102</f>
        <v>0.54</v>
      </c>
      <c r="K69" s="9">
        <f>'Round B1'!J102</f>
        <v>113.25</v>
      </c>
      <c r="L69" s="5"/>
      <c r="M69" s="5"/>
      <c r="N69" s="36"/>
      <c r="O69" s="60"/>
      <c r="P69" s="60"/>
      <c r="Q69" s="60"/>
      <c r="R69" s="65">
        <f>'Round B1'!Q102</f>
        <v>0.7</v>
      </c>
      <c r="S69" s="37">
        <f>'Round B1'!R102</f>
        <v>40</v>
      </c>
      <c r="T69" s="108" t="s">
        <v>42</v>
      </c>
      <c r="U69" s="108"/>
      <c r="V69" s="108"/>
      <c r="W69" s="108"/>
      <c r="X69" s="30"/>
    </row>
    <row r="70" spans="1:24" ht="17.25" x14ac:dyDescent="0.25">
      <c r="A70" s="938"/>
      <c r="B70" s="6" t="s">
        <v>13</v>
      </c>
      <c r="C70" s="75">
        <v>53.2</v>
      </c>
      <c r="D70" s="82">
        <v>152</v>
      </c>
      <c r="E70" s="135">
        <f t="shared" si="15"/>
        <v>98.8</v>
      </c>
      <c r="F70" s="15" t="e">
        <f>IF(OR(#REF!="", E70=""),"",E70^3*N70+E70^2*O70+E70*P70+Q70+(L70-#REF!)*M70)</f>
        <v>#REF!</v>
      </c>
      <c r="G70" s="119">
        <f t="shared" ref="G70:G81" si="18">IF(E70="---","---", E70^3*N70+E70^2*O70+E70*P70+Q70+(L70-ABS(C70))*M70)</f>
        <v>618.03924342750042</v>
      </c>
      <c r="H70" s="166">
        <v>618.1</v>
      </c>
      <c r="I70" s="212">
        <f t="shared" si="17"/>
        <v>9.8295700533245934E-5</v>
      </c>
      <c r="J70" s="122"/>
      <c r="K70" s="8"/>
      <c r="L70" s="5">
        <f>'Round B1'!K103</f>
        <v>29</v>
      </c>
      <c r="M70" s="9">
        <f>'Round B1'!L103</f>
        <v>-0.19</v>
      </c>
      <c r="N70" s="84">
        <f>'Round B1'!M103</f>
        <v>7.942601191494451E-6</v>
      </c>
      <c r="O70" s="85">
        <f>'Round B1'!N103</f>
        <v>-8.6400000000000001E-3</v>
      </c>
      <c r="P70" s="86">
        <f>'Round B1'!O103</f>
        <v>4.9000000000000004</v>
      </c>
      <c r="Q70" s="60">
        <f>'Round B1'!P103</f>
        <v>206</v>
      </c>
      <c r="R70" s="65">
        <f>'Round B1'!Q103</f>
        <v>0.8</v>
      </c>
      <c r="S70" s="37">
        <f>'Round B1'!R103</f>
        <v>40</v>
      </c>
      <c r="T70" s="109" t="s">
        <v>41</v>
      </c>
      <c r="U70" s="108"/>
      <c r="V70" s="108"/>
      <c r="W70" s="108"/>
      <c r="X70" s="30"/>
    </row>
    <row r="71" spans="1:24" ht="17.25" x14ac:dyDescent="0.25">
      <c r="A71" s="938"/>
      <c r="B71" s="6" t="s">
        <v>13</v>
      </c>
      <c r="C71" s="75">
        <v>-54.2</v>
      </c>
      <c r="D71" s="75">
        <v>99.1</v>
      </c>
      <c r="E71" s="135">
        <f t="shared" si="15"/>
        <v>99.1</v>
      </c>
      <c r="F71" s="15"/>
      <c r="G71" s="119">
        <f t="shared" si="18"/>
        <v>619.25627682125742</v>
      </c>
      <c r="H71" s="166">
        <v>619.29999999999995</v>
      </c>
      <c r="I71" s="212">
        <f t="shared" si="17"/>
        <v>7.0600966805326899E-5</v>
      </c>
      <c r="J71" s="122"/>
      <c r="K71" s="8"/>
      <c r="L71" s="5">
        <f>'Round B1'!K103</f>
        <v>29</v>
      </c>
      <c r="M71" s="9">
        <f>'Round B1'!L103</f>
        <v>-0.19</v>
      </c>
      <c r="N71" s="84">
        <f>'Round B1'!M103</f>
        <v>7.942601191494451E-6</v>
      </c>
      <c r="O71" s="85">
        <f>'Round B1'!N103</f>
        <v>-8.6400000000000001E-3</v>
      </c>
      <c r="P71" s="86">
        <f>'Round B1'!O103</f>
        <v>4.9000000000000004</v>
      </c>
      <c r="Q71" s="60">
        <f>'Round B1'!P103</f>
        <v>206</v>
      </c>
      <c r="R71" s="65">
        <f>'Round B1'!Q103</f>
        <v>0.8</v>
      </c>
      <c r="S71" s="37">
        <f>'Round B1'!R103</f>
        <v>40</v>
      </c>
      <c r="T71" s="109" t="s">
        <v>41</v>
      </c>
      <c r="U71" s="108"/>
      <c r="V71" s="108"/>
      <c r="W71" s="108"/>
      <c r="X71" s="30"/>
    </row>
    <row r="72" spans="1:24" ht="17.25" x14ac:dyDescent="0.25">
      <c r="A72" s="938"/>
      <c r="B72" s="6" t="s">
        <v>14</v>
      </c>
      <c r="C72" s="75">
        <v>53.2</v>
      </c>
      <c r="D72" s="82">
        <v>152</v>
      </c>
      <c r="E72" s="135">
        <f t="shared" si="15"/>
        <v>98.8</v>
      </c>
      <c r="F72" s="15" t="e">
        <f>IF(OR(#REF!="", E72=""),"",E72^3*N72+E72^2*O72+E72*P72+Q72+(L72-#REF!)*M72)</f>
        <v>#REF!</v>
      </c>
      <c r="G72" s="119">
        <f t="shared" si="18"/>
        <v>272.64052263935997</v>
      </c>
      <c r="H72" s="166">
        <v>272.7</v>
      </c>
      <c r="I72" s="212">
        <f t="shared" si="17"/>
        <v>2.1810546622668406E-4</v>
      </c>
      <c r="J72" s="122"/>
      <c r="K72" s="4"/>
      <c r="L72" s="5">
        <f>'Round B1'!K104</f>
        <v>30</v>
      </c>
      <c r="M72" s="9">
        <f>'Round B1'!L104</f>
        <v>0.1</v>
      </c>
      <c r="N72" s="84">
        <f>'Round B1'!M104</f>
        <v>8.8000000000000004E-7</v>
      </c>
      <c r="O72" s="85">
        <f>'Round B1'!N104</f>
        <v>-2.8999999999999998E-3</v>
      </c>
      <c r="P72" s="86">
        <f>'Round B1'!O104</f>
        <v>2.15</v>
      </c>
      <c r="Q72" s="60">
        <f>'Round B1'!P104</f>
        <v>90</v>
      </c>
      <c r="R72" s="65">
        <f>'Round B1'!Q104</f>
        <v>1</v>
      </c>
      <c r="S72" s="37">
        <f>'Round B1'!R104</f>
        <v>50</v>
      </c>
      <c r="T72" s="109" t="s">
        <v>41</v>
      </c>
      <c r="U72" s="108"/>
      <c r="V72" s="108"/>
      <c r="W72" s="108"/>
      <c r="X72" s="30"/>
    </row>
    <row r="73" spans="1:24" ht="17.25" x14ac:dyDescent="0.25">
      <c r="A73" s="938"/>
      <c r="B73" s="6" t="s">
        <v>14</v>
      </c>
      <c r="C73" s="75">
        <v>-54.2</v>
      </c>
      <c r="D73" s="75">
        <v>99.1</v>
      </c>
      <c r="E73" s="135">
        <f t="shared" si="15"/>
        <v>99.1</v>
      </c>
      <c r="F73" s="15"/>
      <c r="G73" s="119">
        <f t="shared" si="18"/>
        <v>273.02110419847992</v>
      </c>
      <c r="H73" s="166">
        <v>273</v>
      </c>
      <c r="I73" s="212">
        <f t="shared" si="17"/>
        <v>-7.7304756336696225E-5</v>
      </c>
      <c r="J73" s="122"/>
      <c r="K73" s="4"/>
      <c r="L73" s="5">
        <f>'Round B1'!K104</f>
        <v>30</v>
      </c>
      <c r="M73" s="9">
        <f>'Round B1'!L104</f>
        <v>0.1</v>
      </c>
      <c r="N73" s="84">
        <f>'Round B1'!M104</f>
        <v>8.8000000000000004E-7</v>
      </c>
      <c r="O73" s="85">
        <f>'Round B1'!N104</f>
        <v>-2.8999999999999998E-3</v>
      </c>
      <c r="P73" s="86">
        <f>'Round B1'!O104</f>
        <v>2.15</v>
      </c>
      <c r="Q73" s="60">
        <f>'Round B1'!P104</f>
        <v>90</v>
      </c>
      <c r="R73" s="65">
        <f>'Round B1'!Q104</f>
        <v>1</v>
      </c>
      <c r="S73" s="37">
        <f>'Round B1'!R104</f>
        <v>50</v>
      </c>
      <c r="T73" s="109" t="s">
        <v>41</v>
      </c>
      <c r="U73" s="108"/>
      <c r="V73" s="108"/>
      <c r="W73" s="108"/>
      <c r="X73" s="30"/>
    </row>
    <row r="74" spans="1:24" ht="17.25" x14ac:dyDescent="0.25">
      <c r="A74" s="938"/>
      <c r="B74" s="47" t="s">
        <v>15</v>
      </c>
      <c r="C74" s="75">
        <v>53.2</v>
      </c>
      <c r="D74" s="82">
        <v>152</v>
      </c>
      <c r="E74" s="135">
        <f t="shared" si="15"/>
        <v>98.8</v>
      </c>
      <c r="F74" s="15" t="e">
        <f>IF(OR(#REF!="", E74=""),"",E74^3*N74+E74^2*O74+E74*P74+Q74+(L74-#REF!)*M74)</f>
        <v>#REF!</v>
      </c>
      <c r="G74" s="119">
        <f t="shared" si="18"/>
        <v>142.76357193600001</v>
      </c>
      <c r="H74" s="166">
        <v>142.80000000000001</v>
      </c>
      <c r="I74" s="212">
        <f t="shared" si="17"/>
        <v>2.550984873950006E-4</v>
      </c>
      <c r="J74" s="122"/>
      <c r="K74" s="4"/>
      <c r="L74" s="5">
        <f>'Round B1'!K105</f>
        <v>30</v>
      </c>
      <c r="M74" s="9">
        <f>'Round B1'!L105</f>
        <v>0</v>
      </c>
      <c r="N74" s="84">
        <f>'Round B1'!M105</f>
        <v>4.9999999999999998E-7</v>
      </c>
      <c r="O74" s="60">
        <f>'Round B1'!N105</f>
        <v>-1.2800000000000001E-3</v>
      </c>
      <c r="P74" s="87">
        <f>'Round B1'!O105</f>
        <v>1.02</v>
      </c>
      <c r="Q74" s="60">
        <f>'Round B1'!P105</f>
        <v>54</v>
      </c>
      <c r="R74" s="65">
        <f>'Round B1'!Q105</f>
        <v>1</v>
      </c>
      <c r="S74" s="37">
        <f>'Round B1'!R105</f>
        <v>60</v>
      </c>
      <c r="T74" s="109" t="s">
        <v>41</v>
      </c>
      <c r="U74" s="108"/>
      <c r="V74" s="108"/>
      <c r="W74" s="108"/>
      <c r="X74" s="30"/>
    </row>
    <row r="75" spans="1:24" ht="17.25" x14ac:dyDescent="0.25">
      <c r="A75" s="938"/>
      <c r="B75" s="47" t="s">
        <v>15</v>
      </c>
      <c r="C75" s="75">
        <v>-54.2</v>
      </c>
      <c r="D75" s="75">
        <v>99.1</v>
      </c>
      <c r="E75" s="135">
        <f t="shared" si="15"/>
        <v>99.1</v>
      </c>
      <c r="F75" s="15"/>
      <c r="G75" s="119">
        <f t="shared" si="18"/>
        <v>142.99798433550001</v>
      </c>
      <c r="H75" s="166">
        <v>143</v>
      </c>
      <c r="I75" s="212">
        <f t="shared" si="17"/>
        <v>1.4095555944006354E-5</v>
      </c>
      <c r="J75" s="122"/>
      <c r="K75" s="4"/>
      <c r="L75" s="5">
        <f>'Round B1'!K105</f>
        <v>30</v>
      </c>
      <c r="M75" s="9">
        <f>'Round B1'!L105</f>
        <v>0</v>
      </c>
      <c r="N75" s="84">
        <f>'Round B1'!M105</f>
        <v>4.9999999999999998E-7</v>
      </c>
      <c r="O75" s="60">
        <f>'Round B1'!N105</f>
        <v>-1.2800000000000001E-3</v>
      </c>
      <c r="P75" s="87">
        <f>'Round B1'!O105</f>
        <v>1.02</v>
      </c>
      <c r="Q75" s="60">
        <f>'Round B1'!P105</f>
        <v>54</v>
      </c>
      <c r="R75" s="65">
        <f>'Round B1'!Q105</f>
        <v>1</v>
      </c>
      <c r="S75" s="37">
        <f>'Round B1'!R105</f>
        <v>60</v>
      </c>
      <c r="T75" s="109" t="s">
        <v>41</v>
      </c>
      <c r="U75" s="108"/>
      <c r="V75" s="108"/>
      <c r="W75" s="108"/>
      <c r="X75" s="30"/>
    </row>
    <row r="76" spans="1:24" ht="17.25" x14ac:dyDescent="0.25">
      <c r="A76" s="938"/>
      <c r="B76" s="6" t="s">
        <v>16</v>
      </c>
      <c r="C76" s="75">
        <v>53.2</v>
      </c>
      <c r="D76" s="82">
        <v>152</v>
      </c>
      <c r="E76" s="135">
        <f t="shared" si="15"/>
        <v>98.8</v>
      </c>
      <c r="F76" s="15" t="e">
        <f>IF(OR(#REF!="", E76=""),"",E76^3*N76+E76^2*O76+E76*P76+Q76+(L76-#REF!)*M76)</f>
        <v>#REF!</v>
      </c>
      <c r="G76" s="119">
        <f t="shared" si="18"/>
        <v>63.696342352512005</v>
      </c>
      <c r="H76" s="167">
        <v>63.57</v>
      </c>
      <c r="I76" s="212">
        <f t="shared" si="17"/>
        <v>-1.9874524541765716E-3</v>
      </c>
      <c r="J76" s="122"/>
      <c r="K76" s="42"/>
      <c r="L76" s="5">
        <f>'Round B1'!K106</f>
        <v>25</v>
      </c>
      <c r="M76" s="9">
        <f>'Round B1'!L106</f>
        <v>0.14499999999999999</v>
      </c>
      <c r="N76" s="84">
        <f>'Round B1'!M106</f>
        <v>7.9599999999999998E-7</v>
      </c>
      <c r="O76" s="85">
        <f>'Round B1'!N106</f>
        <v>-9.5009999999999995E-4</v>
      </c>
      <c r="P76" s="87">
        <f>'Round B1'!O106</f>
        <v>0.59</v>
      </c>
      <c r="Q76" s="60">
        <f>'Round B1'!P106</f>
        <v>18</v>
      </c>
      <c r="R76" s="65">
        <f>'Round B1'!Q106</f>
        <v>0.8</v>
      </c>
      <c r="S76" s="37">
        <f>'Round B1'!R106</f>
        <v>35</v>
      </c>
      <c r="T76" s="109" t="s">
        <v>41</v>
      </c>
      <c r="U76" s="108"/>
      <c r="V76" s="108"/>
      <c r="W76" s="108"/>
      <c r="X76" s="30"/>
    </row>
    <row r="77" spans="1:24" ht="17.25" x14ac:dyDescent="0.25">
      <c r="A77" s="938"/>
      <c r="B77" s="6" t="s">
        <v>16</v>
      </c>
      <c r="C77" s="75">
        <v>-54.2</v>
      </c>
      <c r="D77" s="75">
        <v>99.1</v>
      </c>
      <c r="E77" s="135">
        <f t="shared" si="15"/>
        <v>99.1</v>
      </c>
      <c r="F77" s="15"/>
      <c r="G77" s="119">
        <f t="shared" si="18"/>
        <v>63.678949266715996</v>
      </c>
      <c r="H77" s="167">
        <v>63.54</v>
      </c>
      <c r="I77" s="212">
        <f t="shared" si="17"/>
        <v>-2.1867999168397397E-3</v>
      </c>
      <c r="J77" s="122"/>
      <c r="K77" s="42"/>
      <c r="L77" s="5">
        <f>'Round B1'!K106</f>
        <v>25</v>
      </c>
      <c r="M77" s="9">
        <f>'Round B1'!L106</f>
        <v>0.14499999999999999</v>
      </c>
      <c r="N77" s="84">
        <f>'Round B1'!M106</f>
        <v>7.9599999999999998E-7</v>
      </c>
      <c r="O77" s="85">
        <f>'Round B1'!N106</f>
        <v>-9.5009999999999995E-4</v>
      </c>
      <c r="P77" s="87">
        <f>'Round B1'!O106</f>
        <v>0.59</v>
      </c>
      <c r="Q77" s="60">
        <f>'Round B1'!P106</f>
        <v>18</v>
      </c>
      <c r="R77" s="65">
        <f>'Round B1'!Q106</f>
        <v>0.8</v>
      </c>
      <c r="S77" s="37">
        <f>'Round B1'!R106</f>
        <v>35</v>
      </c>
      <c r="T77" s="109" t="s">
        <v>41</v>
      </c>
      <c r="U77" s="108"/>
      <c r="V77" s="108"/>
      <c r="W77" s="108"/>
      <c r="X77" s="30"/>
    </row>
    <row r="78" spans="1:24" ht="17.25" x14ac:dyDescent="0.25">
      <c r="A78" s="938"/>
      <c r="B78" s="6" t="s">
        <v>17</v>
      </c>
      <c r="C78" s="75">
        <v>53.2</v>
      </c>
      <c r="D78" s="82">
        <v>152</v>
      </c>
      <c r="E78" s="135">
        <f t="shared" si="15"/>
        <v>98.8</v>
      </c>
      <c r="F78" s="15" t="e">
        <f>IF(OR(#REF!="", E78=""),"",E78^3*N78+E78^2*O78+E78*P78+Q78+(L78-#REF!)*M78)</f>
        <v>#REF!</v>
      </c>
      <c r="G78" s="119">
        <f t="shared" si="18"/>
        <v>30.324380003242066</v>
      </c>
      <c r="H78" s="166">
        <v>30.33</v>
      </c>
      <c r="I78" s="212">
        <f t="shared" si="17"/>
        <v>1.8529498047914459E-4</v>
      </c>
      <c r="J78" s="122"/>
      <c r="K78" s="42"/>
      <c r="L78" s="5">
        <f>'Round B1'!K107</f>
        <v>25</v>
      </c>
      <c r="M78" s="9">
        <f>'Round B1'!L107</f>
        <v>0.09</v>
      </c>
      <c r="N78" s="84">
        <f>'Round B1'!M107</f>
        <v>2.6904318197461721E-7</v>
      </c>
      <c r="O78" s="219">
        <f>'Round B1'!N107</f>
        <v>-3.5905495356519798E-4</v>
      </c>
      <c r="P78" s="87">
        <f>'Round B1'!O107</f>
        <v>0.24349999999999999</v>
      </c>
      <c r="Q78" s="60">
        <f>'Round B1'!P107</f>
        <v>12.05</v>
      </c>
      <c r="R78" s="65">
        <f>'Round B1'!Q107</f>
        <v>1</v>
      </c>
      <c r="S78" s="37">
        <f>'Round B1'!R107</f>
        <v>50</v>
      </c>
      <c r="T78" s="109" t="s">
        <v>41</v>
      </c>
      <c r="U78" s="108"/>
      <c r="V78" s="108"/>
      <c r="W78" s="108"/>
      <c r="X78" s="30"/>
    </row>
    <row r="79" spans="1:24" ht="17.25" x14ac:dyDescent="0.25">
      <c r="A79" s="938"/>
      <c r="B79" s="6" t="s">
        <v>17</v>
      </c>
      <c r="C79" s="75">
        <v>-54.2</v>
      </c>
      <c r="D79" s="75">
        <v>99.1</v>
      </c>
      <c r="E79" s="135">
        <f t="shared" si="15"/>
        <v>99.1</v>
      </c>
      <c r="F79" s="15"/>
      <c r="G79" s="119">
        <f t="shared" si="18"/>
        <v>30.288483718899414</v>
      </c>
      <c r="H79" s="168">
        <v>30.29</v>
      </c>
      <c r="I79" s="212">
        <f t="shared" si="17"/>
        <v>5.0058801603998153E-5</v>
      </c>
      <c r="J79" s="160"/>
      <c r="K79" s="161"/>
      <c r="L79" s="5">
        <f>'Round B1'!K107</f>
        <v>25</v>
      </c>
      <c r="M79" s="9">
        <f>'Round B1'!L107</f>
        <v>0.09</v>
      </c>
      <c r="N79" s="84">
        <f>'Round B1'!M107</f>
        <v>2.6904318197461721E-7</v>
      </c>
      <c r="O79" s="219">
        <f>'Round B1'!N107</f>
        <v>-3.5905495356519798E-4</v>
      </c>
      <c r="P79" s="87">
        <f>'Round B1'!O107</f>
        <v>0.24349999999999999</v>
      </c>
      <c r="Q79" s="60">
        <f>'Round B1'!P107</f>
        <v>12.05</v>
      </c>
      <c r="R79" s="65">
        <f>'Round B1'!Q107</f>
        <v>1</v>
      </c>
      <c r="S79" s="37">
        <f>'Round B1'!R107</f>
        <v>50</v>
      </c>
      <c r="T79" s="109" t="s">
        <v>41</v>
      </c>
      <c r="U79" s="108"/>
      <c r="V79" s="108"/>
      <c r="W79" s="108"/>
      <c r="X79" s="30"/>
    </row>
    <row r="80" spans="1:24" ht="17.25" x14ac:dyDescent="0.25">
      <c r="A80" s="938"/>
      <c r="B80" s="6" t="s">
        <v>18</v>
      </c>
      <c r="C80" s="75">
        <v>53.2</v>
      </c>
      <c r="D80" s="82">
        <v>152</v>
      </c>
      <c r="E80" s="135">
        <f t="shared" si="15"/>
        <v>98.8</v>
      </c>
      <c r="F80" s="15"/>
      <c r="G80" s="119">
        <f t="shared" si="18"/>
        <v>12.706197200191999</v>
      </c>
      <c r="H80" s="168">
        <v>12.71</v>
      </c>
      <c r="I80" s="212">
        <f t="shared" si="17"/>
        <v>2.9919746719130345E-4</v>
      </c>
      <c r="J80" s="160"/>
      <c r="K80" s="161"/>
      <c r="L80" s="5">
        <f>'Round B1'!K108</f>
        <v>25</v>
      </c>
      <c r="M80" s="9">
        <f>'Round B1'!L108</f>
        <v>-0.02</v>
      </c>
      <c r="N80" s="84">
        <f>'Round B1'!M108</f>
        <v>1.11E-7</v>
      </c>
      <c r="O80" s="219">
        <f>'Round B1'!N108</f>
        <v>-1.4899999999999999E-4</v>
      </c>
      <c r="P80" s="87">
        <f>'Round B1'!O108</f>
        <v>9.1999999999999998E-2</v>
      </c>
      <c r="Q80" s="60">
        <f>'Round B1'!P108</f>
        <v>4.4000000000000004</v>
      </c>
      <c r="R80" s="65">
        <f>'Round B1'!Q108</f>
        <v>0.6</v>
      </c>
      <c r="S80" s="37">
        <f>'Round B1'!R108</f>
        <v>50</v>
      </c>
      <c r="T80" s="109" t="s">
        <v>41</v>
      </c>
      <c r="U80" s="108"/>
      <c r="V80" s="108"/>
      <c r="W80" s="108"/>
      <c r="X80" s="30"/>
    </row>
    <row r="81" spans="1:24" ht="18" thickBot="1" x14ac:dyDescent="0.3">
      <c r="A81" s="939"/>
      <c r="B81" s="7" t="s">
        <v>18</v>
      </c>
      <c r="C81" s="75">
        <v>-54.2</v>
      </c>
      <c r="D81" s="75">
        <v>99.1</v>
      </c>
      <c r="E81" s="136">
        <f t="shared" si="15"/>
        <v>99.1</v>
      </c>
      <c r="F81" s="130" t="e">
        <f>IF(OR(#REF!="", E81=""),"",E81^3*N81+E81^2*O81+E81*P81+Q81+(L81-#REF!)*M81)</f>
        <v>#REF!</v>
      </c>
      <c r="G81" s="123">
        <f t="shared" si="18"/>
        <v>12.745929202080999</v>
      </c>
      <c r="H81" s="169">
        <v>12.75</v>
      </c>
      <c r="I81" s="213">
        <f t="shared" si="17"/>
        <v>3.1927826815691517E-4</v>
      </c>
      <c r="J81" s="114"/>
      <c r="K81" s="38"/>
      <c r="L81" s="19">
        <f>'Round B1'!K108</f>
        <v>25</v>
      </c>
      <c r="M81" s="88">
        <f>'Round B1'!L108</f>
        <v>-0.02</v>
      </c>
      <c r="N81" s="89">
        <f>'Round B1'!M108</f>
        <v>1.11E-7</v>
      </c>
      <c r="O81" s="220">
        <f>'Round B1'!N108</f>
        <v>-1.4899999999999999E-4</v>
      </c>
      <c r="P81" s="221">
        <f>'Round B1'!O108</f>
        <v>9.1999999999999998E-2</v>
      </c>
      <c r="Q81" s="63">
        <f>'Round B1'!P108</f>
        <v>4.4000000000000004</v>
      </c>
      <c r="R81" s="66">
        <f>'Round B1'!Q108</f>
        <v>0.6</v>
      </c>
      <c r="S81" s="40">
        <f>'Round B1'!R108</f>
        <v>50</v>
      </c>
      <c r="T81" s="109" t="s">
        <v>41</v>
      </c>
      <c r="U81" s="108"/>
      <c r="V81" s="108"/>
      <c r="W81" s="108"/>
      <c r="X81" s="30"/>
    </row>
    <row r="82" spans="1:24" ht="14.25" customHeight="1" thickBot="1" x14ac:dyDescent="0.3">
      <c r="A82" s="33"/>
      <c r="B82" s="6"/>
      <c r="C82" s="142"/>
      <c r="D82" s="143"/>
      <c r="E82" s="131" t="str">
        <f t="shared" si="15"/>
        <v/>
      </c>
      <c r="F82" s="15" t="e">
        <f>IF(OR(#REF!="", E82=""),"",E82^3*N82+E82^2*O82+E82*P82+Q82+(L82-#REF!)*M82)</f>
        <v>#REF!</v>
      </c>
      <c r="G82" s="141"/>
      <c r="H82" s="141"/>
      <c r="I82" s="141"/>
      <c r="J82" s="70"/>
      <c r="K82" s="71"/>
      <c r="L82" s="69"/>
      <c r="M82" s="69"/>
      <c r="N82" s="69"/>
      <c r="O82" s="72"/>
      <c r="P82" s="72"/>
      <c r="Q82" s="72"/>
      <c r="R82" s="72"/>
      <c r="S82" s="125"/>
      <c r="X82" s="30"/>
    </row>
    <row r="83" spans="1:24" ht="18" thickBot="1" x14ac:dyDescent="0.3">
      <c r="A83" s="937">
        <v>6000</v>
      </c>
      <c r="B83" s="44" t="s">
        <v>4</v>
      </c>
      <c r="C83" s="75">
        <v>53.2</v>
      </c>
      <c r="D83" s="82">
        <v>152</v>
      </c>
      <c r="E83" s="134">
        <f t="shared" ref="E83:E100" si="19">IF(OR(C83="",D83="",D83&lt;0),"",        IF(AND(C83&lt;=0,D83&gt;=S83, D83&gt;=ABS(C83)*R83),D83,         IF(AND(C83&gt;0, (ABS(D83)-C83)&gt;=S83, (ABS(D83)-C83)&gt;=ABS(C83)*R83),(ABS(D83)-C83),"---")))</f>
        <v>98.8</v>
      </c>
      <c r="F83" s="13" t="e">
        <f>IF(OR(#REF!="", E83=""),"",E83^J83*K83)</f>
        <v>#REF!</v>
      </c>
      <c r="G83" s="118">
        <f t="shared" ref="G83:G88" si="20">IF(E83="---","---", E83^J83*K83)</f>
        <v>5397.2124921511395</v>
      </c>
      <c r="H83" s="165">
        <v>5397</v>
      </c>
      <c r="I83" s="211">
        <f>(H83-G83)/H83</f>
        <v>-3.9372271843521572E-5</v>
      </c>
      <c r="J83" s="124">
        <f>'Round B1'!I110</f>
        <v>0.498</v>
      </c>
      <c r="K83" s="61">
        <f>'Round B1'!J110</f>
        <v>548</v>
      </c>
      <c r="L83" s="16"/>
      <c r="M83" s="16"/>
      <c r="N83" s="34"/>
      <c r="O83" s="62"/>
      <c r="P83" s="62"/>
      <c r="Q83" s="62"/>
      <c r="R83" s="64">
        <f>'Round B1'!Q110</f>
        <v>0.5</v>
      </c>
      <c r="S83" s="35">
        <f>'Round B1'!R110</f>
        <v>25</v>
      </c>
      <c r="T83" s="108" t="s">
        <v>42</v>
      </c>
      <c r="U83" s="108"/>
      <c r="V83" s="108"/>
      <c r="W83" s="108"/>
      <c r="X83" s="30"/>
    </row>
    <row r="84" spans="1:24" ht="17.25" x14ac:dyDescent="0.25">
      <c r="A84" s="938"/>
      <c r="B84" s="6" t="s">
        <v>4</v>
      </c>
      <c r="C84" s="75">
        <v>-54.2</v>
      </c>
      <c r="D84" s="82">
        <v>99.1</v>
      </c>
      <c r="E84" s="135">
        <f t="shared" si="19"/>
        <v>99.1</v>
      </c>
      <c r="F84" s="15" t="e">
        <f>IF(OR(#REF!="", E84=""),"",E84^J84*K84)</f>
        <v>#REF!</v>
      </c>
      <c r="G84" s="119">
        <f t="shared" si="20"/>
        <v>5405.3676533608359</v>
      </c>
      <c r="H84" s="166">
        <v>5406</v>
      </c>
      <c r="I84" s="212">
        <f t="shared" ref="I84:I100" si="21">(H84-G84)/H84</f>
        <v>1.1697126140660336E-4</v>
      </c>
      <c r="J84" s="113">
        <f>'Round B1'!I110</f>
        <v>0.498</v>
      </c>
      <c r="K84" s="59">
        <f>'Round B1'!J110</f>
        <v>548</v>
      </c>
      <c r="L84" s="5"/>
      <c r="M84" s="5"/>
      <c r="N84" s="36"/>
      <c r="O84" s="60"/>
      <c r="P84" s="60"/>
      <c r="Q84" s="60"/>
      <c r="R84" s="65">
        <f>'Round B1'!Q110</f>
        <v>0.5</v>
      </c>
      <c r="S84" s="35">
        <f>'Round B1'!R110</f>
        <v>25</v>
      </c>
      <c r="T84" s="108" t="s">
        <v>42</v>
      </c>
      <c r="U84" s="108"/>
      <c r="V84" s="108"/>
      <c r="W84" s="108"/>
      <c r="X84" s="30"/>
    </row>
    <row r="85" spans="1:24" ht="17.25" x14ac:dyDescent="0.25">
      <c r="A85" s="938"/>
      <c r="B85" s="47" t="s">
        <v>11</v>
      </c>
      <c r="C85" s="75">
        <v>53.2</v>
      </c>
      <c r="D85" s="82">
        <v>152</v>
      </c>
      <c r="E85" s="135">
        <f t="shared" si="19"/>
        <v>98.8</v>
      </c>
      <c r="F85" s="15" t="e">
        <f>IF(OR(#REF!="", E85=""),"",E85^J85*K85)</f>
        <v>#REF!</v>
      </c>
      <c r="G85" s="119">
        <f t="shared" si="20"/>
        <v>2879.0544790662398</v>
      </c>
      <c r="H85" s="166">
        <v>2879</v>
      </c>
      <c r="I85" s="212">
        <f t="shared" si="21"/>
        <v>-1.8922912900230812E-5</v>
      </c>
      <c r="J85" s="113">
        <f>'Round B1'!I111</f>
        <v>0.502</v>
      </c>
      <c r="K85" s="59">
        <f>'Round B1'!J111</f>
        <v>287</v>
      </c>
      <c r="L85" s="5"/>
      <c r="M85" s="5"/>
      <c r="N85" s="36"/>
      <c r="O85" s="60"/>
      <c r="P85" s="60"/>
      <c r="Q85" s="60"/>
      <c r="R85" s="65">
        <f>'Round B1'!Q111</f>
        <v>0.5</v>
      </c>
      <c r="S85" s="37">
        <f>'Round B1'!R111</f>
        <v>25</v>
      </c>
      <c r="T85" s="108" t="s">
        <v>42</v>
      </c>
      <c r="U85" s="108"/>
      <c r="V85" s="108"/>
      <c r="W85" s="108"/>
      <c r="X85" s="30"/>
    </row>
    <row r="86" spans="1:24" ht="17.25" x14ac:dyDescent="0.25">
      <c r="A86" s="938"/>
      <c r="B86" s="47" t="s">
        <v>11</v>
      </c>
      <c r="C86" s="75">
        <v>-54.2</v>
      </c>
      <c r="D86" s="82">
        <v>99.1</v>
      </c>
      <c r="E86" s="135">
        <f t="shared" si="19"/>
        <v>99.1</v>
      </c>
      <c r="F86" s="15" t="e">
        <f>IF(OR(#REF!="", E86=""),"",E86^J86*K86)</f>
        <v>#REF!</v>
      </c>
      <c r="G86" s="119">
        <f t="shared" si="20"/>
        <v>2883.4396843125428</v>
      </c>
      <c r="H86" s="166">
        <v>2884</v>
      </c>
      <c r="I86" s="212">
        <f t="shared" si="21"/>
        <v>1.9428421895187415E-4</v>
      </c>
      <c r="J86" s="113">
        <f>'Round B1'!I111</f>
        <v>0.502</v>
      </c>
      <c r="K86" s="59">
        <f>'Round B1'!J111</f>
        <v>287</v>
      </c>
      <c r="L86" s="5"/>
      <c r="M86" s="5"/>
      <c r="N86" s="36"/>
      <c r="O86" s="60"/>
      <c r="P86" s="60"/>
      <c r="Q86" s="60"/>
      <c r="R86" s="65">
        <f>'Round B1'!Q111</f>
        <v>0.5</v>
      </c>
      <c r="S86" s="37">
        <f>'Round B1'!R111</f>
        <v>25</v>
      </c>
      <c r="T86" s="108" t="s">
        <v>42</v>
      </c>
      <c r="U86" s="108"/>
      <c r="V86" s="108"/>
      <c r="W86" s="108"/>
      <c r="X86" s="30"/>
    </row>
    <row r="87" spans="1:24" ht="17.25" x14ac:dyDescent="0.25">
      <c r="A87" s="938"/>
      <c r="B87" s="46" t="s">
        <v>12</v>
      </c>
      <c r="C87" s="75">
        <v>53.2</v>
      </c>
      <c r="D87" s="82">
        <v>152</v>
      </c>
      <c r="E87" s="135">
        <f t="shared" si="19"/>
        <v>98.8</v>
      </c>
      <c r="F87" s="15" t="e">
        <f>IF(OR(#REF!="", E87=""),"",E87^J87*K87)</f>
        <v>#REF!</v>
      </c>
      <c r="G87" s="119">
        <f t="shared" si="20"/>
        <v>1352.7170398461087</v>
      </c>
      <c r="H87" s="166">
        <v>1353</v>
      </c>
      <c r="I87" s="212">
        <f t="shared" si="21"/>
        <v>2.0913536872969781E-4</v>
      </c>
      <c r="J87" s="113">
        <f>'Round B1'!I112</f>
        <v>0.54</v>
      </c>
      <c r="K87" s="9">
        <f>'Round B1'!J112</f>
        <v>113.25</v>
      </c>
      <c r="L87" s="5"/>
      <c r="M87" s="5"/>
      <c r="N87" s="36"/>
      <c r="O87" s="60"/>
      <c r="P87" s="60"/>
      <c r="Q87" s="60"/>
      <c r="R87" s="65">
        <f>'Round B1'!Q112</f>
        <v>0.8</v>
      </c>
      <c r="S87" s="37">
        <f>'Round B1'!R112</f>
        <v>40</v>
      </c>
      <c r="T87" s="108" t="s">
        <v>42</v>
      </c>
      <c r="U87" s="108"/>
      <c r="V87" s="108"/>
      <c r="W87" s="108"/>
      <c r="X87" s="30"/>
    </row>
    <row r="88" spans="1:24" ht="17.25" x14ac:dyDescent="0.25">
      <c r="A88" s="938"/>
      <c r="B88" s="46" t="s">
        <v>12</v>
      </c>
      <c r="C88" s="75">
        <v>-54.2</v>
      </c>
      <c r="D88" s="82">
        <v>99.1</v>
      </c>
      <c r="E88" s="135">
        <f t="shared" si="19"/>
        <v>99.1</v>
      </c>
      <c r="F88" s="15" t="e">
        <f>IF(OR(#REF!="", E88=""),"",E88^J88*K88)</f>
        <v>#REF!</v>
      </c>
      <c r="G88" s="119">
        <f t="shared" si="20"/>
        <v>1354.9335109287117</v>
      </c>
      <c r="H88" s="166">
        <v>1355</v>
      </c>
      <c r="I88" s="212">
        <f t="shared" si="21"/>
        <v>4.9069425305009568E-5</v>
      </c>
      <c r="J88" s="113">
        <f>'Round B1'!I112</f>
        <v>0.54</v>
      </c>
      <c r="K88" s="9">
        <f>'Round B1'!J112</f>
        <v>113.25</v>
      </c>
      <c r="L88" s="5"/>
      <c r="M88" s="5"/>
      <c r="N88" s="36"/>
      <c r="O88" s="60"/>
      <c r="P88" s="60"/>
      <c r="Q88" s="60"/>
      <c r="R88" s="65">
        <f>'Round B1'!Q112</f>
        <v>0.8</v>
      </c>
      <c r="S88" s="37">
        <f>'Round B1'!R112</f>
        <v>40</v>
      </c>
      <c r="T88" s="108" t="s">
        <v>42</v>
      </c>
      <c r="U88" s="108"/>
      <c r="V88" s="108"/>
      <c r="W88" s="108"/>
      <c r="X88" s="30"/>
    </row>
    <row r="89" spans="1:24" ht="17.25" x14ac:dyDescent="0.25">
      <c r="A89" s="938"/>
      <c r="B89" s="6" t="s">
        <v>13</v>
      </c>
      <c r="C89" s="75">
        <v>53.2</v>
      </c>
      <c r="D89" s="82">
        <v>152</v>
      </c>
      <c r="E89" s="135">
        <f t="shared" si="19"/>
        <v>98.8</v>
      </c>
      <c r="F89" s="15" t="e">
        <f>IF(OR(#REF!="", E89=""),"",E89^3*N89+E89^2*O89+E89*P89+Q89+(L89-#REF!)*M89)</f>
        <v>#REF!</v>
      </c>
      <c r="G89" s="119">
        <f t="shared" ref="G89:G100" si="22">IF(E89="---","---", E89^3*N89+E89^2*O89+E89*P89+Q89+(L89-ABS(C89))*M89)</f>
        <v>567.30529640064003</v>
      </c>
      <c r="H89" s="166">
        <v>567.4</v>
      </c>
      <c r="I89" s="212">
        <f t="shared" si="21"/>
        <v>1.6690800028189225E-4</v>
      </c>
      <c r="J89" s="122"/>
      <c r="K89" s="8"/>
      <c r="L89" s="5">
        <f>'Round B1'!K113</f>
        <v>0</v>
      </c>
      <c r="M89" s="9">
        <f>'Round B1'!L113</f>
        <v>0.7</v>
      </c>
      <c r="N89" s="84">
        <f>'Round B1'!M113</f>
        <v>6.6200000000000001E-6</v>
      </c>
      <c r="O89" s="85">
        <f>'Round B1'!N113</f>
        <v>-7.7999999999999996E-3</v>
      </c>
      <c r="P89" s="86">
        <f>'Round B1'!O113</f>
        <v>4.75</v>
      </c>
      <c r="Q89" s="60">
        <f>'Round B1'!P113</f>
        <v>205</v>
      </c>
      <c r="R89" s="65">
        <f>'Round B1'!Q113</f>
        <v>0.8</v>
      </c>
      <c r="S89" s="37">
        <f>'Round B1'!R113</f>
        <v>40</v>
      </c>
      <c r="T89" s="109" t="s">
        <v>41</v>
      </c>
      <c r="U89" s="108"/>
      <c r="V89" s="108"/>
      <c r="W89" s="108"/>
      <c r="X89" s="30"/>
    </row>
    <row r="90" spans="1:24" ht="17.25" x14ac:dyDescent="0.25">
      <c r="A90" s="938"/>
      <c r="B90" s="6" t="s">
        <v>13</v>
      </c>
      <c r="C90" s="75">
        <v>-54.2</v>
      </c>
      <c r="D90" s="82">
        <v>99.1</v>
      </c>
      <c r="E90" s="135">
        <f t="shared" si="19"/>
        <v>99.1</v>
      </c>
      <c r="F90" s="15" t="e">
        <f>IF(OR(#REF!="", E90=""),"",E90^3*N90+E90^2*O90+E90*P90+Q90+(L90-#REF!)*M90)</f>
        <v>#REF!</v>
      </c>
      <c r="G90" s="119">
        <f t="shared" si="22"/>
        <v>567.62554583401993</v>
      </c>
      <c r="H90" s="166">
        <v>567.70000000000005</v>
      </c>
      <c r="I90" s="212">
        <f t="shared" si="21"/>
        <v>1.3115054778952675E-4</v>
      </c>
      <c r="J90" s="122"/>
      <c r="K90" s="8"/>
      <c r="L90" s="5">
        <f>'Round B1'!K113</f>
        <v>0</v>
      </c>
      <c r="M90" s="9">
        <f>'Round B1'!L113</f>
        <v>0.7</v>
      </c>
      <c r="N90" s="84">
        <f>'Round B1'!M113</f>
        <v>6.6200000000000001E-6</v>
      </c>
      <c r="O90" s="85">
        <f>'Round B1'!N113</f>
        <v>-7.7999999999999996E-3</v>
      </c>
      <c r="P90" s="86">
        <f>'Round B1'!O113</f>
        <v>4.75</v>
      </c>
      <c r="Q90" s="60">
        <f>'Round B1'!P113</f>
        <v>205</v>
      </c>
      <c r="R90" s="65">
        <f>'Round B1'!Q113</f>
        <v>0.8</v>
      </c>
      <c r="S90" s="37">
        <f>'Round B1'!R113</f>
        <v>40</v>
      </c>
      <c r="T90" s="109" t="s">
        <v>41</v>
      </c>
      <c r="U90" s="108"/>
      <c r="V90" s="108"/>
      <c r="W90" s="108"/>
      <c r="X90" s="30"/>
    </row>
    <row r="91" spans="1:24" ht="17.25" x14ac:dyDescent="0.25">
      <c r="A91" s="938"/>
      <c r="B91" s="6" t="s">
        <v>14</v>
      </c>
      <c r="C91" s="75">
        <v>53.2</v>
      </c>
      <c r="D91" s="82">
        <v>152</v>
      </c>
      <c r="E91" s="135">
        <f t="shared" si="19"/>
        <v>98.8</v>
      </c>
      <c r="F91" s="15" t="e">
        <f>IF(OR(#REF!="", E91=""),"",E91^3*N91+E91^2*O91+E91*P91+Q91+(L91-#REF!)*M91)</f>
        <v>#REF!</v>
      </c>
      <c r="G91" s="119">
        <f t="shared" si="22"/>
        <v>221.91596281600002</v>
      </c>
      <c r="H91" s="166">
        <v>222</v>
      </c>
      <c r="I91" s="212">
        <f t="shared" si="21"/>
        <v>3.7854587387379206E-4</v>
      </c>
      <c r="J91" s="122"/>
      <c r="K91" s="4"/>
      <c r="L91" s="5">
        <f>'Round B1'!K114</f>
        <v>40</v>
      </c>
      <c r="M91" s="9">
        <f>'Round B1'!L114</f>
        <v>0.85</v>
      </c>
      <c r="N91" s="84">
        <f>'Round B1'!M114</f>
        <v>3.0000000000000001E-6</v>
      </c>
      <c r="O91" s="85">
        <f>'Round B1'!N114</f>
        <v>-3.7000000000000002E-3</v>
      </c>
      <c r="P91" s="86">
        <f>'Round B1'!O114</f>
        <v>2.2000000000000002</v>
      </c>
      <c r="Q91" s="60">
        <f>'Round B1'!P114</f>
        <v>49</v>
      </c>
      <c r="R91" s="65">
        <f>'Round B1'!Q114</f>
        <v>1</v>
      </c>
      <c r="S91" s="37">
        <f>'Round B1'!R114</f>
        <v>50</v>
      </c>
      <c r="T91" s="109" t="s">
        <v>41</v>
      </c>
      <c r="U91" s="108"/>
      <c r="V91" s="108"/>
      <c r="W91" s="108"/>
      <c r="X91" s="30"/>
    </row>
    <row r="92" spans="1:24" ht="17.25" x14ac:dyDescent="0.25">
      <c r="A92" s="938"/>
      <c r="B92" s="6" t="s">
        <v>14</v>
      </c>
      <c r="C92" s="75">
        <v>-54.2</v>
      </c>
      <c r="D92" s="82">
        <v>99.1</v>
      </c>
      <c r="E92" s="135">
        <f t="shared" si="19"/>
        <v>99.1</v>
      </c>
      <c r="F92" s="15" t="e">
        <f>IF(OR(#REF!="", E92=""),"",E92^3*N92+E92^2*O92+E92*P92+Q92+(L92-#REF!)*M92)</f>
        <v>#REF!</v>
      </c>
      <c r="G92" s="119">
        <f t="shared" si="22"/>
        <v>221.532729813</v>
      </c>
      <c r="H92" s="166">
        <v>221.5</v>
      </c>
      <c r="I92" s="212">
        <f t="shared" si="21"/>
        <v>-1.4776439277653771E-4</v>
      </c>
      <c r="J92" s="122"/>
      <c r="K92" s="4"/>
      <c r="L92" s="5">
        <f>'Round B1'!K114</f>
        <v>40</v>
      </c>
      <c r="M92" s="9">
        <f>'Round B1'!L114</f>
        <v>0.85</v>
      </c>
      <c r="N92" s="84">
        <f>'Round B1'!M114</f>
        <v>3.0000000000000001E-6</v>
      </c>
      <c r="O92" s="85">
        <f>'Round B1'!N114</f>
        <v>-3.7000000000000002E-3</v>
      </c>
      <c r="P92" s="86">
        <f>'Round B1'!O114</f>
        <v>2.2000000000000002</v>
      </c>
      <c r="Q92" s="60">
        <f>'Round B1'!P114</f>
        <v>49</v>
      </c>
      <c r="R92" s="65">
        <f>'Round B1'!Q114</f>
        <v>1</v>
      </c>
      <c r="S92" s="37">
        <f>'Round B1'!R114</f>
        <v>50</v>
      </c>
      <c r="T92" s="109" t="s">
        <v>41</v>
      </c>
      <c r="U92" s="108"/>
      <c r="V92" s="108"/>
      <c r="W92" s="108"/>
      <c r="X92" s="30"/>
    </row>
    <row r="93" spans="1:24" ht="17.25" x14ac:dyDescent="0.25">
      <c r="A93" s="938"/>
      <c r="B93" s="47" t="s">
        <v>15</v>
      </c>
      <c r="C93" s="75">
        <v>53.2</v>
      </c>
      <c r="D93" s="82">
        <v>152</v>
      </c>
      <c r="E93" s="135">
        <f t="shared" si="19"/>
        <v>98.8</v>
      </c>
      <c r="F93" s="15" t="e">
        <f>IF(OR(#REF!="", E93=""),"",E93^3*N93+E93^2*O93+E93*P93+Q93+(L93-#REF!)*M93)</f>
        <v>#REF!</v>
      </c>
      <c r="G93" s="119">
        <f t="shared" si="22"/>
        <v>123.74485400832002</v>
      </c>
      <c r="H93" s="166">
        <v>121</v>
      </c>
      <c r="I93" s="212">
        <f t="shared" si="21"/>
        <v>-2.2684743870413377E-2</v>
      </c>
      <c r="J93" s="122"/>
      <c r="K93" s="4"/>
      <c r="L93" s="5">
        <f>'Round B1'!K115</f>
        <v>65</v>
      </c>
      <c r="M93" s="9">
        <f>'Round B1'!L115</f>
        <v>0.2</v>
      </c>
      <c r="N93" s="84">
        <f>'Round B1'!M115</f>
        <v>1.06E-6</v>
      </c>
      <c r="O93" s="60">
        <f>'Round B1'!N115</f>
        <v>-1.382E-3</v>
      </c>
      <c r="P93" s="87">
        <f>'Round B1'!O115</f>
        <v>0.96511000000000013</v>
      </c>
      <c r="Q93" s="60">
        <f>'Round B1'!P115</f>
        <v>38.5</v>
      </c>
      <c r="R93" s="65">
        <f>'Round B1'!Q115</f>
        <v>1</v>
      </c>
      <c r="S93" s="37">
        <f>'Round B1'!R115</f>
        <v>60</v>
      </c>
      <c r="T93" s="109" t="s">
        <v>41</v>
      </c>
      <c r="U93" s="108"/>
      <c r="V93" s="108"/>
      <c r="W93" s="108"/>
      <c r="X93" s="30"/>
    </row>
    <row r="94" spans="1:24" ht="17.25" x14ac:dyDescent="0.25">
      <c r="A94" s="938"/>
      <c r="B94" s="47" t="s">
        <v>15</v>
      </c>
      <c r="C94" s="75">
        <v>-54.2</v>
      </c>
      <c r="D94" s="82">
        <v>99.1</v>
      </c>
      <c r="E94" s="135">
        <f t="shared" si="19"/>
        <v>99.1</v>
      </c>
      <c r="F94" s="15" t="e">
        <f>IF(OR(#REF!="", E94=""),"",E94^3*N94+E94^2*O94+E94*P94+Q94+(L94-#REF!)*M94)</f>
        <v>#REF!</v>
      </c>
      <c r="G94" s="119">
        <f t="shared" si="22"/>
        <v>123.76167838726001</v>
      </c>
      <c r="H94" s="166">
        <v>121</v>
      </c>
      <c r="I94" s="212">
        <f t="shared" si="21"/>
        <v>-2.2823788324462854E-2</v>
      </c>
      <c r="J94" s="122"/>
      <c r="K94" s="4"/>
      <c r="L94" s="5">
        <f>'Round B1'!K115</f>
        <v>65</v>
      </c>
      <c r="M94" s="9">
        <f>'Round B1'!L115</f>
        <v>0.2</v>
      </c>
      <c r="N94" s="84">
        <f>'Round B1'!M115</f>
        <v>1.06E-6</v>
      </c>
      <c r="O94" s="60">
        <f>'Round B1'!N115</f>
        <v>-1.382E-3</v>
      </c>
      <c r="P94" s="87">
        <f>'Round B1'!O115</f>
        <v>0.96511000000000013</v>
      </c>
      <c r="Q94" s="60">
        <f>'Round B1'!P115</f>
        <v>38.5</v>
      </c>
      <c r="R94" s="65">
        <f>'Round B1'!Q115</f>
        <v>1</v>
      </c>
      <c r="S94" s="37">
        <f>'Round B1'!R115</f>
        <v>60</v>
      </c>
      <c r="T94" s="109" t="s">
        <v>41</v>
      </c>
      <c r="U94" s="108"/>
      <c r="V94" s="108"/>
      <c r="W94" s="108"/>
      <c r="X94" s="30"/>
    </row>
    <row r="95" spans="1:24" ht="17.25" x14ac:dyDescent="0.25">
      <c r="A95" s="938"/>
      <c r="B95" s="6" t="s">
        <v>16</v>
      </c>
      <c r="C95" s="75">
        <v>53.2</v>
      </c>
      <c r="D95" s="82">
        <v>152</v>
      </c>
      <c r="E95" s="135">
        <f t="shared" si="19"/>
        <v>98.8</v>
      </c>
      <c r="F95" s="15" t="e">
        <f>IF(OR(#REF!="", E95=""),"",E95^3*N95+E95^2*O95+E95*P95+Q95+(L95-#REF!)*M95)</f>
        <v>#REF!</v>
      </c>
      <c r="G95" s="119">
        <f t="shared" si="22"/>
        <v>63.696342352512005</v>
      </c>
      <c r="H95" s="166">
        <v>63.57</v>
      </c>
      <c r="I95" s="212">
        <f t="shared" si="21"/>
        <v>-1.9874524541765716E-3</v>
      </c>
      <c r="J95" s="122"/>
      <c r="K95" s="42"/>
      <c r="L95" s="5">
        <f>'Round B1'!K116</f>
        <v>25</v>
      </c>
      <c r="M95" s="9">
        <f>'Round B1'!L116</f>
        <v>0.14499999999999999</v>
      </c>
      <c r="N95" s="84">
        <f>'Round B1'!M116</f>
        <v>7.9599999999999998E-7</v>
      </c>
      <c r="O95" s="85">
        <f>'Round B1'!N116</f>
        <v>-9.5009999999999995E-4</v>
      </c>
      <c r="P95" s="87">
        <f>'Round B1'!O116</f>
        <v>0.59</v>
      </c>
      <c r="Q95" s="60">
        <f>'Round B1'!P116</f>
        <v>18</v>
      </c>
      <c r="R95" s="65">
        <f>'Round B1'!Q116</f>
        <v>0.8</v>
      </c>
      <c r="S95" s="37">
        <f>'Round B1'!R116</f>
        <v>35</v>
      </c>
      <c r="T95" s="109" t="s">
        <v>41</v>
      </c>
      <c r="U95" s="108"/>
      <c r="V95" s="108"/>
      <c r="W95" s="108"/>
      <c r="X95" s="30"/>
    </row>
    <row r="96" spans="1:24" ht="17.25" x14ac:dyDescent="0.25">
      <c r="A96" s="938"/>
      <c r="B96" s="6" t="s">
        <v>16</v>
      </c>
      <c r="C96" s="75">
        <v>-54.2</v>
      </c>
      <c r="D96" s="82">
        <v>99.1</v>
      </c>
      <c r="E96" s="135">
        <f t="shared" si="19"/>
        <v>99.1</v>
      </c>
      <c r="F96" s="15" t="e">
        <f>IF(OR(#REF!="", E96=""),"",E96^3*N96+E96^2*O96+E96*P96+Q96+(L96-#REF!)*M96)</f>
        <v>#REF!</v>
      </c>
      <c r="G96" s="119">
        <f t="shared" si="22"/>
        <v>63.678949266715996</v>
      </c>
      <c r="H96" s="166">
        <v>63.54</v>
      </c>
      <c r="I96" s="212">
        <f t="shared" si="21"/>
        <v>-2.1867999168397397E-3</v>
      </c>
      <c r="J96" s="122"/>
      <c r="K96" s="42"/>
      <c r="L96" s="5">
        <f>'Round B1'!K116</f>
        <v>25</v>
      </c>
      <c r="M96" s="9">
        <f>'Round B1'!L116</f>
        <v>0.14499999999999999</v>
      </c>
      <c r="N96" s="84">
        <f>'Round B1'!M116</f>
        <v>7.9599999999999998E-7</v>
      </c>
      <c r="O96" s="85">
        <f>'Round B1'!N116</f>
        <v>-9.5009999999999995E-4</v>
      </c>
      <c r="P96" s="87">
        <f>'Round B1'!O116</f>
        <v>0.59</v>
      </c>
      <c r="Q96" s="60">
        <f>'Round B1'!P116</f>
        <v>18</v>
      </c>
      <c r="R96" s="65">
        <f>'Round B1'!Q116</f>
        <v>0.8</v>
      </c>
      <c r="S96" s="37">
        <f>'Round B1'!R116</f>
        <v>35</v>
      </c>
      <c r="T96" s="109" t="s">
        <v>41</v>
      </c>
      <c r="U96" s="108"/>
      <c r="V96" s="108"/>
      <c r="W96" s="108"/>
      <c r="X96" s="30"/>
    </row>
    <row r="97" spans="1:24" ht="17.25" x14ac:dyDescent="0.25">
      <c r="A97" s="938"/>
      <c r="B97" s="6" t="s">
        <v>17</v>
      </c>
      <c r="C97" s="75">
        <v>53.2</v>
      </c>
      <c r="D97" s="82">
        <v>152</v>
      </c>
      <c r="E97" s="135">
        <f t="shared" si="19"/>
        <v>98.8</v>
      </c>
      <c r="F97" s="15" t="e">
        <f>IF(OR(#REF!="", E97=""),"",E97^3*N97+E97^2*O97+E97*P97+Q97+(L97-#REF!)*M97)</f>
        <v>#REF!</v>
      </c>
      <c r="G97" s="119">
        <f t="shared" si="22"/>
        <v>30.324380003242066</v>
      </c>
      <c r="H97" s="166">
        <v>30.33</v>
      </c>
      <c r="I97" s="212">
        <f t="shared" si="21"/>
        <v>1.8529498047914459E-4</v>
      </c>
      <c r="J97" s="122"/>
      <c r="K97" s="42"/>
      <c r="L97" s="5">
        <f>'Round B1'!K117</f>
        <v>25</v>
      </c>
      <c r="M97" s="9">
        <f>'Round B1'!L117</f>
        <v>0.09</v>
      </c>
      <c r="N97" s="84">
        <f>'Round B1'!M117</f>
        <v>2.6904318197461721E-7</v>
      </c>
      <c r="O97" s="219">
        <f>'Round B1'!N117</f>
        <v>-3.5905495356519798E-4</v>
      </c>
      <c r="P97" s="87">
        <f>'Round B1'!O117</f>
        <v>0.24349999999999999</v>
      </c>
      <c r="Q97" s="60">
        <f>'Round B1'!P117</f>
        <v>12.05</v>
      </c>
      <c r="R97" s="65">
        <f>'Round B1'!Q117</f>
        <v>1</v>
      </c>
      <c r="S97" s="37">
        <f>'Round B1'!R117</f>
        <v>50</v>
      </c>
      <c r="T97" s="109" t="s">
        <v>41</v>
      </c>
      <c r="U97" s="108"/>
      <c r="V97" s="108"/>
      <c r="W97" s="108"/>
      <c r="X97" s="30"/>
    </row>
    <row r="98" spans="1:24" ht="17.25" x14ac:dyDescent="0.25">
      <c r="A98" s="938"/>
      <c r="B98" s="6" t="s">
        <v>17</v>
      </c>
      <c r="C98" s="75">
        <v>-54.2</v>
      </c>
      <c r="D98" s="82">
        <v>99.1</v>
      </c>
      <c r="E98" s="135">
        <f t="shared" si="19"/>
        <v>99.1</v>
      </c>
      <c r="F98" s="15" t="e">
        <f>IF(OR(#REF!="", E98=""),"",E98^3*N98+E98^2*O98+E98*P98+Q98+(L98-#REF!)*M98)</f>
        <v>#REF!</v>
      </c>
      <c r="G98" s="119">
        <f t="shared" si="22"/>
        <v>30.288483718899414</v>
      </c>
      <c r="H98" s="166">
        <v>30.29</v>
      </c>
      <c r="I98" s="212">
        <f t="shared" si="21"/>
        <v>5.0058801603998153E-5</v>
      </c>
      <c r="J98" s="122"/>
      <c r="K98" s="42"/>
      <c r="L98" s="5">
        <f>'Round B1'!K117</f>
        <v>25</v>
      </c>
      <c r="M98" s="9">
        <f>'Round B1'!L117</f>
        <v>0.09</v>
      </c>
      <c r="N98" s="84">
        <f>'Round B1'!M117</f>
        <v>2.6904318197461721E-7</v>
      </c>
      <c r="O98" s="219">
        <f>'Round B1'!N117</f>
        <v>-3.5905495356519798E-4</v>
      </c>
      <c r="P98" s="87">
        <f>'Round B1'!O117</f>
        <v>0.24349999999999999</v>
      </c>
      <c r="Q98" s="60">
        <f>'Round B1'!P117</f>
        <v>12.05</v>
      </c>
      <c r="R98" s="65">
        <f>'Round B1'!Q117</f>
        <v>1</v>
      </c>
      <c r="S98" s="37">
        <f>'Round B1'!R117</f>
        <v>50</v>
      </c>
      <c r="T98" s="109" t="s">
        <v>41</v>
      </c>
      <c r="U98" s="108"/>
      <c r="V98" s="108"/>
      <c r="W98" s="108"/>
      <c r="X98" s="30"/>
    </row>
    <row r="99" spans="1:24" ht="17.25" x14ac:dyDescent="0.25">
      <c r="A99" s="938"/>
      <c r="B99" s="6" t="s">
        <v>18</v>
      </c>
      <c r="C99" s="75">
        <v>53.2</v>
      </c>
      <c r="D99" s="82">
        <v>152</v>
      </c>
      <c r="E99" s="135">
        <f t="shared" si="19"/>
        <v>98.8</v>
      </c>
      <c r="F99" s="15" t="e">
        <f>IF(OR(#REF!="", E99=""),"",E99^3*N99+E99^2*O99+E99*P99+Q99+(L99-#REF!)*M99)</f>
        <v>#REF!</v>
      </c>
      <c r="G99" s="119">
        <f t="shared" si="22"/>
        <v>12.706197200191999</v>
      </c>
      <c r="H99" s="166">
        <v>12.71</v>
      </c>
      <c r="I99" s="212">
        <f t="shared" si="21"/>
        <v>2.9919746719130345E-4</v>
      </c>
      <c r="J99" s="122"/>
      <c r="K99" s="42"/>
      <c r="L99" s="5">
        <f>'Round B1'!K118</f>
        <v>25</v>
      </c>
      <c r="M99" s="9">
        <f>'Round B1'!L118</f>
        <v>-0.02</v>
      </c>
      <c r="N99" s="84">
        <f>'Round B1'!M118</f>
        <v>1.11E-7</v>
      </c>
      <c r="O99" s="219">
        <f>'Round B1'!N118</f>
        <v>-1.4899999999999999E-4</v>
      </c>
      <c r="P99" s="87">
        <f>'Round B1'!O118</f>
        <v>9.1999999999999998E-2</v>
      </c>
      <c r="Q99" s="60">
        <f>'Round B1'!P118</f>
        <v>4.4000000000000004</v>
      </c>
      <c r="R99" s="65">
        <f>'Round B1'!Q118</f>
        <v>0.6</v>
      </c>
      <c r="S99" s="37">
        <f>'Round B1'!R118</f>
        <v>50</v>
      </c>
      <c r="T99" s="109" t="s">
        <v>41</v>
      </c>
      <c r="U99" s="108"/>
      <c r="V99" s="108"/>
      <c r="W99" s="108"/>
      <c r="X99" s="30"/>
    </row>
    <row r="100" spans="1:24" ht="18" thickBot="1" x14ac:dyDescent="0.3">
      <c r="A100" s="939"/>
      <c r="B100" s="7" t="s">
        <v>18</v>
      </c>
      <c r="C100" s="76">
        <v>-54.2</v>
      </c>
      <c r="D100" s="83">
        <v>99.1</v>
      </c>
      <c r="E100" s="136">
        <f t="shared" si="19"/>
        <v>99.1</v>
      </c>
      <c r="F100" s="130" t="e">
        <f>IF(OR(#REF!="", E100=""),"",E100^3*N100+E100^2*O100+E100*P100+Q100+(L100-#REF!)*M100)</f>
        <v>#REF!</v>
      </c>
      <c r="G100" s="123">
        <f t="shared" si="22"/>
        <v>12.745929202080999</v>
      </c>
      <c r="H100" s="169">
        <v>12.75</v>
      </c>
      <c r="I100" s="213">
        <f t="shared" si="21"/>
        <v>3.1927826815691517E-4</v>
      </c>
      <c r="J100" s="114"/>
      <c r="K100" s="38"/>
      <c r="L100" s="19">
        <f>'Round B1'!K118</f>
        <v>25</v>
      </c>
      <c r="M100" s="88">
        <f>'Round B1'!L118</f>
        <v>-0.02</v>
      </c>
      <c r="N100" s="89">
        <f>'Round B1'!M118</f>
        <v>1.11E-7</v>
      </c>
      <c r="O100" s="220">
        <f>'Round B1'!N118</f>
        <v>-1.4899999999999999E-4</v>
      </c>
      <c r="P100" s="221">
        <f>'Round B1'!O118</f>
        <v>9.1999999999999998E-2</v>
      </c>
      <c r="Q100" s="63">
        <f>'Round B1'!P118</f>
        <v>4.4000000000000004</v>
      </c>
      <c r="R100" s="66">
        <f>'Round B1'!Q118</f>
        <v>0.6</v>
      </c>
      <c r="S100" s="40">
        <f>'Round B1'!R118</f>
        <v>50</v>
      </c>
      <c r="T100" s="109" t="s">
        <v>41</v>
      </c>
      <c r="U100" s="108"/>
      <c r="V100" s="108"/>
      <c r="W100" s="108"/>
      <c r="X100" s="30"/>
    </row>
    <row r="102" spans="1:24" x14ac:dyDescent="0.2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223"/>
      <c r="L102" s="72"/>
    </row>
    <row r="103" spans="1:24" x14ac:dyDescent="0.2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223"/>
      <c r="L103" s="72"/>
    </row>
    <row r="104" spans="1:24" x14ac:dyDescent="0.2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223"/>
      <c r="L104" s="72"/>
    </row>
    <row r="105" spans="1:24" x14ac:dyDescent="0.2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223"/>
      <c r="L105" s="72"/>
    </row>
    <row r="106" spans="1:24" x14ac:dyDescent="0.2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223"/>
      <c r="L106" s="72"/>
    </row>
    <row r="107" spans="1:24" x14ac:dyDescent="0.2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223"/>
      <c r="L107" s="72"/>
    </row>
    <row r="108" spans="1:24" x14ac:dyDescent="0.2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223"/>
      <c r="L108" s="72"/>
    </row>
    <row r="109" spans="1:24" x14ac:dyDescent="0.25">
      <c r="A109" s="72"/>
      <c r="B109" s="47"/>
      <c r="C109" s="155"/>
      <c r="D109" s="155"/>
      <c r="E109" s="156"/>
      <c r="F109" s="157"/>
      <c r="G109" s="157"/>
      <c r="H109" s="157"/>
      <c r="I109" s="157"/>
      <c r="J109" s="72"/>
      <c r="K109" s="223"/>
      <c r="L109" s="72"/>
    </row>
    <row r="110" spans="1:24" x14ac:dyDescent="0.25">
      <c r="A110" s="72"/>
      <c r="B110" s="47"/>
      <c r="C110" s="155"/>
      <c r="D110" s="155"/>
      <c r="E110" s="156"/>
      <c r="F110" s="157"/>
      <c r="G110" s="157"/>
      <c r="H110" s="157"/>
      <c r="I110" s="157"/>
      <c r="J110" s="72"/>
      <c r="K110" s="226"/>
      <c r="L110" s="72"/>
    </row>
    <row r="111" spans="1:24" x14ac:dyDescent="0.25">
      <c r="A111" s="72"/>
      <c r="B111" s="47"/>
      <c r="C111" s="155"/>
      <c r="D111" s="155"/>
      <c r="E111" s="156"/>
      <c r="F111" s="157"/>
      <c r="G111" s="157"/>
      <c r="H111" s="157"/>
      <c r="I111" s="157"/>
      <c r="J111" s="72"/>
      <c r="K111" s="226"/>
      <c r="L111" s="72"/>
    </row>
    <row r="112" spans="1:24" x14ac:dyDescent="0.25">
      <c r="A112" s="72"/>
      <c r="B112" s="47"/>
      <c r="C112" s="155"/>
      <c r="D112" s="155"/>
      <c r="E112" s="156"/>
      <c r="F112" s="157"/>
      <c r="G112" s="157"/>
      <c r="H112" s="157"/>
      <c r="I112" s="157"/>
      <c r="J112" s="72"/>
      <c r="K112" s="226"/>
      <c r="L112" s="72"/>
    </row>
    <row r="113" spans="1:30" x14ac:dyDescent="0.2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224"/>
      <c r="L113" s="72"/>
    </row>
    <row r="114" spans="1:30" x14ac:dyDescent="0.2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224"/>
      <c r="L114" s="72"/>
    </row>
    <row r="115" spans="1:30" x14ac:dyDescent="0.2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224"/>
      <c r="L115" s="72"/>
    </row>
    <row r="116" spans="1:30" x14ac:dyDescent="0.2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224"/>
      <c r="L116" s="72"/>
    </row>
    <row r="117" spans="1:30" ht="15" customHeight="1" x14ac:dyDescent="0.25">
      <c r="M117" s="225"/>
      <c r="AA117" s="25"/>
      <c r="AB117" s="25"/>
      <c r="AC117" s="25"/>
      <c r="AD117" s="25"/>
    </row>
    <row r="118" spans="1:30" ht="15" customHeight="1" x14ac:dyDescent="0.25">
      <c r="M118" s="225"/>
      <c r="AA118" s="25"/>
      <c r="AB118" s="25"/>
      <c r="AC118" s="25"/>
      <c r="AD118" s="25"/>
    </row>
    <row r="119" spans="1:30" ht="15" customHeight="1" x14ac:dyDescent="0.25">
      <c r="M119" s="225"/>
      <c r="AA119" s="25"/>
      <c r="AB119" s="25"/>
      <c r="AC119" s="25"/>
      <c r="AD119" s="25"/>
    </row>
    <row r="120" spans="1:30" ht="15" customHeight="1" x14ac:dyDescent="0.25">
      <c r="M120" s="225"/>
      <c r="AA120" s="25"/>
      <c r="AB120" s="25"/>
      <c r="AC120" s="25"/>
      <c r="AD120" s="25"/>
    </row>
    <row r="121" spans="1:30" ht="15" customHeight="1" x14ac:dyDescent="0.25">
      <c r="M121" s="225"/>
      <c r="AA121" s="25"/>
      <c r="AB121" s="25"/>
      <c r="AC121" s="25"/>
      <c r="AD121" s="25"/>
    </row>
    <row r="122" spans="1:30" ht="15" customHeight="1" x14ac:dyDescent="0.25">
      <c r="M122" s="225"/>
      <c r="AA122" s="25"/>
      <c r="AB122" s="25"/>
      <c r="AC122" s="25"/>
      <c r="AD122" s="25"/>
    </row>
    <row r="123" spans="1:30" ht="15" customHeight="1" x14ac:dyDescent="0.25">
      <c r="M123" s="225"/>
      <c r="AA123" s="25"/>
      <c r="AB123" s="25"/>
      <c r="AC123" s="25"/>
      <c r="AD123" s="25"/>
    </row>
    <row r="124" spans="1:30" ht="15" customHeight="1" x14ac:dyDescent="0.25">
      <c r="M124" s="225"/>
      <c r="AA124" s="25"/>
      <c r="AB124" s="25"/>
      <c r="AC124" s="25"/>
      <c r="AD124" s="25"/>
    </row>
    <row r="125" spans="1:30" ht="15.75" customHeight="1" x14ac:dyDescent="0.25">
      <c r="M125" s="225"/>
      <c r="AA125" s="25"/>
      <c r="AB125" s="25"/>
      <c r="AC125" s="25"/>
      <c r="AD125" s="25"/>
    </row>
    <row r="126" spans="1:30" ht="15.75" customHeight="1" x14ac:dyDescent="0.25">
      <c r="M126" s="225"/>
      <c r="AA126" s="25"/>
      <c r="AB126" s="25"/>
      <c r="AC126" s="25"/>
      <c r="AD126" s="25"/>
    </row>
    <row r="127" spans="1:30" x14ac:dyDescent="0.25">
      <c r="M127" s="225"/>
      <c r="AA127" s="25"/>
      <c r="AB127" s="25"/>
      <c r="AC127" s="25"/>
      <c r="AD127" s="25"/>
    </row>
    <row r="128" spans="1:30" x14ac:dyDescent="0.25">
      <c r="M128" s="225"/>
      <c r="AA128" s="25"/>
      <c r="AB128" s="25"/>
      <c r="AC128" s="25"/>
      <c r="AD128" s="25"/>
    </row>
    <row r="129" spans="13:30" x14ac:dyDescent="0.25">
      <c r="M129" s="225"/>
      <c r="AA129" s="25"/>
      <c r="AB129" s="25"/>
      <c r="AC129" s="25"/>
      <c r="AD129" s="25"/>
    </row>
    <row r="130" spans="13:30" x14ac:dyDescent="0.25">
      <c r="M130" s="225"/>
      <c r="AA130" s="25"/>
      <c r="AB130" s="25"/>
      <c r="AC130" s="25"/>
      <c r="AD130" s="25"/>
    </row>
    <row r="131" spans="13:30" x14ac:dyDescent="0.25">
      <c r="AA131" s="25"/>
      <c r="AB131" s="25"/>
      <c r="AC131" s="25"/>
      <c r="AD131" s="25"/>
    </row>
    <row r="132" spans="13:30" x14ac:dyDescent="0.25">
      <c r="AA132" s="25"/>
      <c r="AB132" s="25"/>
      <c r="AC132" s="25"/>
      <c r="AD132" s="25"/>
    </row>
    <row r="133" spans="13:30" x14ac:dyDescent="0.25">
      <c r="AA133" s="25"/>
      <c r="AB133" s="25"/>
      <c r="AC133" s="25"/>
      <c r="AD133" s="25"/>
    </row>
    <row r="134" spans="13:30" x14ac:dyDescent="0.25">
      <c r="AA134" s="25"/>
      <c r="AB134" s="25"/>
      <c r="AC134" s="25"/>
      <c r="AD134" s="25"/>
    </row>
    <row r="135" spans="13:30" x14ac:dyDescent="0.25">
      <c r="AA135" s="25"/>
      <c r="AB135" s="25"/>
      <c r="AC135" s="25"/>
      <c r="AD135" s="25"/>
    </row>
    <row r="136" spans="13:30" x14ac:dyDescent="0.25">
      <c r="AA136" s="25"/>
      <c r="AB136" s="25"/>
      <c r="AC136" s="25"/>
      <c r="AD136" s="25"/>
    </row>
    <row r="137" spans="13:30" x14ac:dyDescent="0.25">
      <c r="AA137" s="25"/>
      <c r="AB137" s="25"/>
      <c r="AC137" s="25"/>
      <c r="AD137" s="25"/>
    </row>
    <row r="138" spans="13:30" x14ac:dyDescent="0.25">
      <c r="AA138" s="25"/>
      <c r="AB138" s="25"/>
      <c r="AC138" s="25"/>
      <c r="AD138" s="25"/>
    </row>
    <row r="139" spans="13:30" x14ac:dyDescent="0.25">
      <c r="AA139" s="25"/>
      <c r="AB139" s="25"/>
      <c r="AC139" s="25"/>
      <c r="AD139" s="25"/>
    </row>
    <row r="140" spans="13:30" x14ac:dyDescent="0.25">
      <c r="AA140" s="25"/>
      <c r="AB140" s="25"/>
      <c r="AC140" s="25"/>
      <c r="AD140" s="25"/>
    </row>
    <row r="141" spans="13:30" x14ac:dyDescent="0.25">
      <c r="AA141" s="25"/>
      <c r="AB141" s="25"/>
      <c r="AC141" s="25"/>
      <c r="AD141" s="25"/>
    </row>
    <row r="142" spans="13:30" x14ac:dyDescent="0.25">
      <c r="AA142" s="25"/>
      <c r="AB142" s="25"/>
      <c r="AC142" s="25"/>
      <c r="AD142" s="25"/>
    </row>
    <row r="143" spans="13:30" x14ac:dyDescent="0.25">
      <c r="AA143" s="25"/>
      <c r="AB143" s="25"/>
      <c r="AC143" s="25"/>
      <c r="AD143" s="25"/>
    </row>
    <row r="144" spans="13:30" x14ac:dyDescent="0.25">
      <c r="AA144" s="25"/>
      <c r="AB144" s="25"/>
      <c r="AC144" s="25"/>
      <c r="AD144" s="25"/>
    </row>
    <row r="145" spans="27:30" x14ac:dyDescent="0.25">
      <c r="AA145" s="25"/>
      <c r="AB145" s="25"/>
      <c r="AC145" s="25"/>
      <c r="AD145" s="25"/>
    </row>
    <row r="146" spans="27:30" x14ac:dyDescent="0.25">
      <c r="AA146" s="25"/>
      <c r="AB146" s="25"/>
      <c r="AC146" s="25"/>
      <c r="AD146" s="25"/>
    </row>
    <row r="147" spans="27:30" x14ac:dyDescent="0.25">
      <c r="AA147" s="25"/>
      <c r="AB147" s="25"/>
      <c r="AC147" s="25"/>
      <c r="AD147" s="25"/>
    </row>
    <row r="148" spans="27:30" x14ac:dyDescent="0.25">
      <c r="AA148" s="25"/>
      <c r="AB148" s="25"/>
      <c r="AC148" s="25"/>
      <c r="AD148" s="25"/>
    </row>
    <row r="149" spans="27:30" x14ac:dyDescent="0.25">
      <c r="AA149" s="25"/>
      <c r="AB149" s="25"/>
      <c r="AC149" s="25"/>
      <c r="AD149" s="25"/>
    </row>
    <row r="150" spans="27:30" x14ac:dyDescent="0.25">
      <c r="AA150" s="25"/>
      <c r="AB150" s="25"/>
      <c r="AC150" s="25"/>
      <c r="AD150" s="25"/>
    </row>
    <row r="151" spans="27:30" x14ac:dyDescent="0.25">
      <c r="AA151" s="25"/>
      <c r="AB151" s="25"/>
      <c r="AC151" s="25"/>
      <c r="AD151" s="25"/>
    </row>
    <row r="152" spans="27:30" x14ac:dyDescent="0.25">
      <c r="AA152" s="25"/>
      <c r="AB152" s="25"/>
      <c r="AC152" s="25"/>
      <c r="AD152" s="25"/>
    </row>
    <row r="153" spans="27:30" x14ac:dyDescent="0.25">
      <c r="AA153" s="25"/>
      <c r="AB153" s="25"/>
      <c r="AC153" s="25"/>
      <c r="AD153" s="25"/>
    </row>
    <row r="154" spans="27:30" x14ac:dyDescent="0.25">
      <c r="AA154" s="25"/>
      <c r="AB154" s="25"/>
      <c r="AC154" s="25"/>
      <c r="AD154" s="25"/>
    </row>
    <row r="155" spans="27:30" x14ac:dyDescent="0.25">
      <c r="AA155" s="25"/>
      <c r="AB155" s="25"/>
      <c r="AC155" s="25"/>
      <c r="AD155" s="25"/>
    </row>
    <row r="156" spans="27:30" x14ac:dyDescent="0.25">
      <c r="AA156" s="25"/>
      <c r="AB156" s="25"/>
      <c r="AC156" s="25"/>
      <c r="AD156" s="25"/>
    </row>
    <row r="157" spans="27:30" x14ac:dyDescent="0.25">
      <c r="AA157" s="25"/>
      <c r="AB157" s="25"/>
      <c r="AC157" s="25"/>
      <c r="AD157" s="25"/>
    </row>
    <row r="158" spans="27:30" x14ac:dyDescent="0.25">
      <c r="AA158" s="25"/>
      <c r="AB158" s="25"/>
      <c r="AC158" s="25"/>
      <c r="AD158" s="25"/>
    </row>
    <row r="159" spans="27:30" x14ac:dyDescent="0.25">
      <c r="AA159" s="25"/>
      <c r="AB159" s="25"/>
      <c r="AC159" s="25"/>
      <c r="AD159" s="25"/>
    </row>
    <row r="160" spans="27:30" x14ac:dyDescent="0.25">
      <c r="AA160" s="25"/>
      <c r="AB160" s="25"/>
      <c r="AC160" s="25"/>
      <c r="AD160" s="25"/>
    </row>
    <row r="161" spans="27:30" x14ac:dyDescent="0.25">
      <c r="AA161" s="25"/>
      <c r="AB161" s="25"/>
      <c r="AC161" s="25"/>
      <c r="AD161" s="25"/>
    </row>
    <row r="162" spans="27:30" x14ac:dyDescent="0.25">
      <c r="AA162" s="25"/>
      <c r="AB162" s="25"/>
      <c r="AC162" s="25"/>
      <c r="AD162" s="25"/>
    </row>
    <row r="163" spans="27:30" x14ac:dyDescent="0.25">
      <c r="AA163" s="25"/>
      <c r="AB163" s="25"/>
      <c r="AC163" s="25"/>
      <c r="AD163" s="25"/>
    </row>
    <row r="164" spans="27:30" x14ac:dyDescent="0.25">
      <c r="AA164" s="25"/>
      <c r="AB164" s="25"/>
      <c r="AC164" s="25"/>
      <c r="AD164" s="25"/>
    </row>
    <row r="165" spans="27:30" x14ac:dyDescent="0.25">
      <c r="AA165" s="25"/>
      <c r="AB165" s="25"/>
      <c r="AC165" s="25"/>
      <c r="AD165" s="25"/>
    </row>
    <row r="166" spans="27:30" x14ac:dyDescent="0.25">
      <c r="AA166" s="25"/>
      <c r="AB166" s="25"/>
      <c r="AC166" s="25"/>
      <c r="AD166" s="25"/>
    </row>
    <row r="167" spans="27:30" x14ac:dyDescent="0.25">
      <c r="AA167" s="25"/>
      <c r="AB167" s="25"/>
      <c r="AC167" s="25"/>
      <c r="AD167" s="25"/>
    </row>
    <row r="168" spans="27:30" x14ac:dyDescent="0.25">
      <c r="AA168" s="25"/>
      <c r="AB168" s="25"/>
      <c r="AC168" s="25"/>
      <c r="AD168" s="25"/>
    </row>
    <row r="169" spans="27:30" x14ac:dyDescent="0.25">
      <c r="AA169" s="25"/>
      <c r="AB169" s="25"/>
      <c r="AC169" s="25"/>
      <c r="AD169" s="25"/>
    </row>
    <row r="170" spans="27:30" x14ac:dyDescent="0.25">
      <c r="AA170" s="25"/>
      <c r="AB170" s="25"/>
      <c r="AC170" s="25"/>
      <c r="AD170" s="25"/>
    </row>
    <row r="171" spans="27:30" x14ac:dyDescent="0.25">
      <c r="AA171" s="25"/>
      <c r="AB171" s="25"/>
      <c r="AC171" s="25"/>
      <c r="AD171" s="25"/>
    </row>
    <row r="172" spans="27:30" x14ac:dyDescent="0.25">
      <c r="AA172" s="25"/>
      <c r="AB172" s="25"/>
      <c r="AC172" s="25"/>
      <c r="AD172" s="25"/>
    </row>
    <row r="173" spans="27:30" x14ac:dyDescent="0.25">
      <c r="AA173" s="25"/>
      <c r="AB173" s="25"/>
      <c r="AC173" s="25"/>
      <c r="AD173" s="25"/>
    </row>
    <row r="174" spans="27:30" x14ac:dyDescent="0.25">
      <c r="AA174" s="25"/>
      <c r="AB174" s="25"/>
      <c r="AC174" s="25"/>
      <c r="AD174" s="25"/>
    </row>
    <row r="175" spans="27:30" x14ac:dyDescent="0.25">
      <c r="AA175" s="25"/>
      <c r="AB175" s="25"/>
      <c r="AC175" s="25"/>
      <c r="AD175" s="25"/>
    </row>
    <row r="176" spans="27:30" x14ac:dyDescent="0.25">
      <c r="AA176" s="25"/>
      <c r="AB176" s="25"/>
      <c r="AC176" s="25"/>
      <c r="AD176" s="25"/>
    </row>
    <row r="177" spans="27:30" x14ac:dyDescent="0.25">
      <c r="AA177" s="25"/>
      <c r="AB177" s="25"/>
      <c r="AC177" s="25"/>
      <c r="AD177" s="25"/>
    </row>
    <row r="178" spans="27:30" x14ac:dyDescent="0.25">
      <c r="AA178" s="25"/>
      <c r="AB178" s="25"/>
      <c r="AC178" s="25"/>
      <c r="AD178" s="25"/>
    </row>
    <row r="179" spans="27:30" x14ac:dyDescent="0.25">
      <c r="AA179" s="25"/>
      <c r="AB179" s="25"/>
      <c r="AC179" s="25"/>
      <c r="AD179" s="25"/>
    </row>
    <row r="180" spans="27:30" x14ac:dyDescent="0.25">
      <c r="AA180" s="25"/>
      <c r="AB180" s="25"/>
      <c r="AC180" s="25"/>
      <c r="AD180" s="25"/>
    </row>
    <row r="181" spans="27:30" x14ac:dyDescent="0.25">
      <c r="AA181" s="25"/>
      <c r="AB181" s="25"/>
      <c r="AC181" s="25"/>
      <c r="AD181" s="25"/>
    </row>
    <row r="182" spans="27:30" x14ac:dyDescent="0.25">
      <c r="AA182" s="25"/>
      <c r="AB182" s="25"/>
      <c r="AC182" s="25"/>
      <c r="AD182" s="25"/>
    </row>
    <row r="183" spans="27:30" x14ac:dyDescent="0.25">
      <c r="AA183" s="25"/>
      <c r="AB183" s="25"/>
      <c r="AC183" s="25"/>
      <c r="AD183" s="25"/>
    </row>
    <row r="184" spans="27:30" x14ac:dyDescent="0.25">
      <c r="AA184" s="25"/>
      <c r="AB184" s="25"/>
      <c r="AC184" s="25"/>
      <c r="AD184" s="25"/>
    </row>
    <row r="185" spans="27:30" x14ac:dyDescent="0.25">
      <c r="AA185" s="25"/>
      <c r="AB185" s="25"/>
      <c r="AC185" s="25"/>
      <c r="AD185" s="25"/>
    </row>
    <row r="186" spans="27:30" x14ac:dyDescent="0.25">
      <c r="AA186" s="25"/>
      <c r="AB186" s="25"/>
      <c r="AC186" s="25"/>
      <c r="AD186" s="25"/>
    </row>
    <row r="187" spans="27:30" x14ac:dyDescent="0.25">
      <c r="AA187" s="25"/>
      <c r="AB187" s="25"/>
      <c r="AC187" s="25"/>
      <c r="AD187" s="25"/>
    </row>
    <row r="188" spans="27:30" x14ac:dyDescent="0.25">
      <c r="AA188" s="25"/>
      <c r="AB188" s="25"/>
      <c r="AC188" s="25"/>
      <c r="AD188" s="25"/>
    </row>
    <row r="189" spans="27:30" x14ac:dyDescent="0.25">
      <c r="AA189" s="25"/>
      <c r="AB189" s="25"/>
      <c r="AC189" s="25"/>
      <c r="AD189" s="25"/>
    </row>
    <row r="190" spans="27:30" x14ac:dyDescent="0.25">
      <c r="AA190" s="25"/>
      <c r="AB190" s="25"/>
      <c r="AC190" s="25"/>
      <c r="AD190" s="25"/>
    </row>
    <row r="191" spans="27:30" x14ac:dyDescent="0.25">
      <c r="AA191" s="25"/>
      <c r="AB191" s="25"/>
      <c r="AC191" s="25"/>
      <c r="AD191" s="25"/>
    </row>
    <row r="192" spans="27:30" x14ac:dyDescent="0.25">
      <c r="AA192" s="25"/>
      <c r="AB192" s="25"/>
      <c r="AC192" s="25"/>
      <c r="AD192" s="25"/>
    </row>
    <row r="193" spans="27:30" x14ac:dyDescent="0.25">
      <c r="AA193" s="25"/>
      <c r="AB193" s="25"/>
      <c r="AC193" s="25"/>
      <c r="AD193" s="25"/>
    </row>
    <row r="194" spans="27:30" x14ac:dyDescent="0.25">
      <c r="AA194" s="25"/>
      <c r="AB194" s="25"/>
      <c r="AC194" s="25"/>
      <c r="AD194" s="25"/>
    </row>
    <row r="195" spans="27:30" x14ac:dyDescent="0.25">
      <c r="AA195" s="25"/>
      <c r="AB195" s="25"/>
      <c r="AC195" s="25"/>
      <c r="AD195" s="25"/>
    </row>
    <row r="196" spans="27:30" x14ac:dyDescent="0.25">
      <c r="AA196" s="25"/>
      <c r="AB196" s="25"/>
      <c r="AC196" s="25"/>
      <c r="AD196" s="25"/>
    </row>
    <row r="197" spans="27:30" x14ac:dyDescent="0.25">
      <c r="AA197" s="25"/>
      <c r="AB197" s="25"/>
      <c r="AC197" s="25"/>
      <c r="AD197" s="25"/>
    </row>
    <row r="198" spans="27:30" x14ac:dyDescent="0.25">
      <c r="AA198" s="25"/>
      <c r="AB198" s="25"/>
      <c r="AC198" s="25"/>
      <c r="AD198" s="25"/>
    </row>
    <row r="199" spans="27:30" x14ac:dyDescent="0.25">
      <c r="AA199" s="25"/>
      <c r="AB199" s="25"/>
      <c r="AC199" s="25"/>
      <c r="AD199" s="25"/>
    </row>
    <row r="200" spans="27:30" x14ac:dyDescent="0.25">
      <c r="AA200" s="25"/>
      <c r="AB200" s="25"/>
      <c r="AC200" s="25"/>
      <c r="AD200" s="25"/>
    </row>
    <row r="201" spans="27:30" x14ac:dyDescent="0.25">
      <c r="AA201" s="25"/>
      <c r="AB201" s="25"/>
      <c r="AC201" s="25"/>
      <c r="AD201" s="25"/>
    </row>
    <row r="202" spans="27:30" x14ac:dyDescent="0.25">
      <c r="AA202" s="25"/>
      <c r="AB202" s="25"/>
      <c r="AC202" s="25"/>
      <c r="AD202" s="25"/>
    </row>
    <row r="203" spans="27:30" x14ac:dyDescent="0.25">
      <c r="AA203" s="25"/>
      <c r="AB203" s="25"/>
      <c r="AC203" s="25"/>
      <c r="AD203" s="25"/>
    </row>
    <row r="204" spans="27:30" x14ac:dyDescent="0.25">
      <c r="AA204" s="25"/>
      <c r="AB204" s="25"/>
      <c r="AC204" s="25"/>
      <c r="AD204" s="25"/>
    </row>
    <row r="205" spans="27:30" x14ac:dyDescent="0.25">
      <c r="AA205" s="25"/>
      <c r="AB205" s="25"/>
      <c r="AC205" s="25"/>
      <c r="AD205" s="25"/>
    </row>
    <row r="206" spans="27:30" x14ac:dyDescent="0.25">
      <c r="AA206" s="25"/>
      <c r="AB206" s="25"/>
      <c r="AC206" s="25"/>
      <c r="AD206" s="25"/>
    </row>
    <row r="207" spans="27:30" x14ac:dyDescent="0.25">
      <c r="AA207" s="25"/>
      <c r="AB207" s="25"/>
      <c r="AC207" s="25"/>
      <c r="AD207" s="25"/>
    </row>
    <row r="208" spans="27:30" x14ac:dyDescent="0.25">
      <c r="AA208" s="25"/>
      <c r="AB208" s="25"/>
      <c r="AC208" s="25"/>
      <c r="AD208" s="25"/>
    </row>
    <row r="209" spans="27:30" x14ac:dyDescent="0.25">
      <c r="AA209" s="25"/>
      <c r="AB209" s="25"/>
      <c r="AC209" s="25"/>
      <c r="AD209" s="25"/>
    </row>
    <row r="210" spans="27:30" x14ac:dyDescent="0.25">
      <c r="AA210" s="25"/>
      <c r="AB210" s="25"/>
      <c r="AC210" s="25"/>
      <c r="AD210" s="25"/>
    </row>
    <row r="211" spans="27:30" x14ac:dyDescent="0.25">
      <c r="AA211" s="25"/>
      <c r="AB211" s="25"/>
      <c r="AC211" s="25"/>
      <c r="AD211" s="25"/>
    </row>
    <row r="212" spans="27:30" x14ac:dyDescent="0.25">
      <c r="AA212" s="25"/>
      <c r="AB212" s="25"/>
      <c r="AC212" s="25"/>
      <c r="AD212" s="25"/>
    </row>
    <row r="213" spans="27:30" x14ac:dyDescent="0.25">
      <c r="AA213" s="25"/>
      <c r="AB213" s="25"/>
      <c r="AC213" s="25"/>
      <c r="AD213" s="25"/>
    </row>
    <row r="214" spans="27:30" x14ac:dyDescent="0.25">
      <c r="AA214" s="25"/>
      <c r="AB214" s="25"/>
      <c r="AC214" s="25"/>
      <c r="AD214" s="25"/>
    </row>
    <row r="215" spans="27:30" x14ac:dyDescent="0.25">
      <c r="AA215" s="25"/>
      <c r="AB215" s="25"/>
      <c r="AC215" s="25"/>
      <c r="AD215" s="25"/>
    </row>
    <row r="216" spans="27:30" x14ac:dyDescent="0.25">
      <c r="AA216" s="25"/>
      <c r="AB216" s="25"/>
      <c r="AC216" s="25"/>
      <c r="AD216" s="25"/>
    </row>
    <row r="217" spans="27:30" x14ac:dyDescent="0.25">
      <c r="AA217" s="25"/>
      <c r="AB217" s="25"/>
      <c r="AC217" s="25"/>
      <c r="AD217" s="25"/>
    </row>
    <row r="218" spans="27:30" x14ac:dyDescent="0.25">
      <c r="AA218" s="25"/>
      <c r="AB218" s="25"/>
      <c r="AC218" s="25"/>
      <c r="AD218" s="25"/>
    </row>
    <row r="219" spans="27:30" x14ac:dyDescent="0.25">
      <c r="AA219" s="25"/>
      <c r="AB219" s="25"/>
      <c r="AC219" s="25"/>
      <c r="AD219" s="25"/>
    </row>
    <row r="220" spans="27:30" x14ac:dyDescent="0.25">
      <c r="AA220" s="25"/>
      <c r="AB220" s="25"/>
      <c r="AC220" s="25"/>
      <c r="AD220" s="25"/>
    </row>
    <row r="221" spans="27:30" x14ac:dyDescent="0.25">
      <c r="AA221" s="25"/>
      <c r="AB221" s="25"/>
      <c r="AC221" s="25"/>
      <c r="AD221" s="25"/>
    </row>
    <row r="222" spans="27:30" x14ac:dyDescent="0.25">
      <c r="AA222" s="25"/>
      <c r="AB222" s="25"/>
      <c r="AC222" s="25"/>
      <c r="AD222" s="25"/>
    </row>
    <row r="223" spans="27:30" x14ac:dyDescent="0.25">
      <c r="AA223" s="25"/>
      <c r="AB223" s="25"/>
      <c r="AC223" s="25"/>
      <c r="AD223" s="25"/>
    </row>
    <row r="224" spans="27:30" x14ac:dyDescent="0.25">
      <c r="AA224" s="25"/>
      <c r="AB224" s="25"/>
      <c r="AC224" s="25"/>
      <c r="AD224" s="25"/>
    </row>
    <row r="225" spans="27:30" x14ac:dyDescent="0.25">
      <c r="AA225" s="25"/>
      <c r="AB225" s="25"/>
      <c r="AC225" s="25"/>
      <c r="AD225" s="25"/>
    </row>
    <row r="226" spans="27:30" x14ac:dyDescent="0.25">
      <c r="AA226" s="25"/>
      <c r="AB226" s="25"/>
      <c r="AC226" s="25"/>
      <c r="AD226" s="25"/>
    </row>
    <row r="227" spans="27:30" x14ac:dyDescent="0.25">
      <c r="AA227" s="25"/>
      <c r="AB227" s="25"/>
      <c r="AC227" s="25"/>
      <c r="AD227" s="25"/>
    </row>
    <row r="228" spans="27:30" x14ac:dyDescent="0.25">
      <c r="AA228" s="25"/>
      <c r="AB228" s="25"/>
      <c r="AC228" s="25"/>
      <c r="AD228" s="25"/>
    </row>
    <row r="229" spans="27:30" x14ac:dyDescent="0.25">
      <c r="AA229" s="25"/>
      <c r="AB229" s="25"/>
      <c r="AC229" s="25"/>
      <c r="AD229" s="25"/>
    </row>
    <row r="230" spans="27:30" x14ac:dyDescent="0.25">
      <c r="AA230" s="25"/>
      <c r="AB230" s="25"/>
      <c r="AC230" s="25"/>
      <c r="AD230" s="25"/>
    </row>
    <row r="231" spans="27:30" x14ac:dyDescent="0.25">
      <c r="AA231" s="25"/>
      <c r="AB231" s="25"/>
      <c r="AC231" s="25"/>
      <c r="AD231" s="25"/>
    </row>
    <row r="232" spans="27:30" x14ac:dyDescent="0.25">
      <c r="AA232" s="25"/>
      <c r="AB232" s="25"/>
      <c r="AC232" s="25"/>
      <c r="AD232" s="25"/>
    </row>
    <row r="233" spans="27:30" x14ac:dyDescent="0.25">
      <c r="AA233" s="25"/>
      <c r="AB233" s="25"/>
      <c r="AC233" s="25"/>
      <c r="AD233" s="25"/>
    </row>
    <row r="234" spans="27:30" x14ac:dyDescent="0.25">
      <c r="AA234" s="25"/>
      <c r="AB234" s="25"/>
      <c r="AC234" s="25"/>
      <c r="AD234" s="25"/>
    </row>
    <row r="235" spans="27:30" x14ac:dyDescent="0.25">
      <c r="AA235" s="25"/>
      <c r="AB235" s="25"/>
      <c r="AC235" s="25"/>
      <c r="AD235" s="25"/>
    </row>
    <row r="236" spans="27:30" x14ac:dyDescent="0.25">
      <c r="AA236" s="25"/>
      <c r="AB236" s="25"/>
      <c r="AC236" s="25"/>
      <c r="AD236" s="25"/>
    </row>
    <row r="237" spans="27:30" x14ac:dyDescent="0.25">
      <c r="AA237" s="25"/>
      <c r="AB237" s="25"/>
      <c r="AC237" s="25"/>
      <c r="AD237" s="25"/>
    </row>
    <row r="238" spans="27:30" x14ac:dyDescent="0.25">
      <c r="AA238" s="25"/>
      <c r="AB238" s="25"/>
      <c r="AC238" s="25"/>
      <c r="AD238" s="25"/>
    </row>
    <row r="239" spans="27:30" x14ac:dyDescent="0.25">
      <c r="AA239" s="25"/>
      <c r="AB239" s="25"/>
      <c r="AC239" s="25"/>
      <c r="AD239" s="25"/>
    </row>
    <row r="240" spans="27:30" x14ac:dyDescent="0.25">
      <c r="AA240" s="25"/>
      <c r="AB240" s="25"/>
      <c r="AC240" s="25"/>
      <c r="AD240" s="25"/>
    </row>
    <row r="241" spans="27:30" x14ac:dyDescent="0.25">
      <c r="AA241" s="25"/>
      <c r="AB241" s="25"/>
      <c r="AC241" s="25"/>
      <c r="AD241" s="25"/>
    </row>
    <row r="242" spans="27:30" x14ac:dyDescent="0.25">
      <c r="AA242" s="25"/>
      <c r="AB242" s="25"/>
      <c r="AC242" s="25"/>
      <c r="AD242" s="25"/>
    </row>
    <row r="243" spans="27:30" x14ac:dyDescent="0.25">
      <c r="AA243" s="25"/>
      <c r="AB243" s="25"/>
      <c r="AC243" s="25"/>
      <c r="AD243" s="25"/>
    </row>
    <row r="244" spans="27:30" x14ac:dyDescent="0.25">
      <c r="AA244" s="25"/>
      <c r="AB244" s="25"/>
      <c r="AC244" s="25"/>
      <c r="AD244" s="25"/>
    </row>
    <row r="245" spans="27:30" x14ac:dyDescent="0.25">
      <c r="AA245" s="25"/>
      <c r="AB245" s="25"/>
      <c r="AC245" s="25"/>
      <c r="AD245" s="25"/>
    </row>
    <row r="246" spans="27:30" x14ac:dyDescent="0.25">
      <c r="AA246" s="25"/>
      <c r="AB246" s="25"/>
      <c r="AC246" s="25"/>
      <c r="AD246" s="25"/>
    </row>
    <row r="247" spans="27:30" x14ac:dyDescent="0.25">
      <c r="AA247" s="25"/>
      <c r="AB247" s="25"/>
      <c r="AC247" s="25"/>
      <c r="AD247" s="25"/>
    </row>
    <row r="248" spans="27:30" x14ac:dyDescent="0.25">
      <c r="AA248" s="25"/>
      <c r="AB248" s="25"/>
      <c r="AC248" s="25"/>
      <c r="AD248" s="25"/>
    </row>
    <row r="249" spans="27:30" x14ac:dyDescent="0.25">
      <c r="AA249" s="25"/>
      <c r="AB249" s="25"/>
      <c r="AC249" s="25"/>
      <c r="AD249" s="25"/>
    </row>
    <row r="250" spans="27:30" x14ac:dyDescent="0.25">
      <c r="AA250" s="25"/>
      <c r="AB250" s="25"/>
      <c r="AC250" s="25"/>
      <c r="AD250" s="25"/>
    </row>
    <row r="251" spans="27:30" x14ac:dyDescent="0.25">
      <c r="AA251" s="25"/>
      <c r="AB251" s="25"/>
      <c r="AC251" s="25"/>
      <c r="AD251" s="25"/>
    </row>
    <row r="252" spans="27:30" x14ac:dyDescent="0.25">
      <c r="AA252" s="25"/>
      <c r="AB252" s="25"/>
      <c r="AC252" s="25"/>
      <c r="AD252" s="25"/>
    </row>
    <row r="253" spans="27:30" x14ac:dyDescent="0.25">
      <c r="AA253" s="25"/>
      <c r="AB253" s="25"/>
      <c r="AC253" s="25"/>
      <c r="AD253" s="25"/>
    </row>
    <row r="254" spans="27:30" x14ac:dyDescent="0.25">
      <c r="AA254" s="25"/>
      <c r="AB254" s="25"/>
      <c r="AC254" s="25"/>
      <c r="AD254" s="25"/>
    </row>
    <row r="255" spans="27:30" x14ac:dyDescent="0.25">
      <c r="AA255" s="25"/>
      <c r="AB255" s="25"/>
      <c r="AC255" s="25"/>
      <c r="AD255" s="25"/>
    </row>
    <row r="256" spans="27:30" x14ac:dyDescent="0.25">
      <c r="AA256" s="25"/>
      <c r="AB256" s="25"/>
      <c r="AC256" s="25"/>
      <c r="AD256" s="25"/>
    </row>
    <row r="257" spans="27:30" x14ac:dyDescent="0.25">
      <c r="AA257" s="25"/>
      <c r="AB257" s="25"/>
      <c r="AC257" s="25"/>
      <c r="AD257" s="25"/>
    </row>
    <row r="258" spans="27:30" x14ac:dyDescent="0.25">
      <c r="AA258" s="25"/>
      <c r="AB258" s="25"/>
      <c r="AC258" s="25"/>
      <c r="AD258" s="25"/>
    </row>
    <row r="259" spans="27:30" x14ac:dyDescent="0.25">
      <c r="AA259" s="25"/>
      <c r="AB259" s="25"/>
      <c r="AC259" s="25"/>
      <c r="AD259" s="25"/>
    </row>
    <row r="260" spans="27:30" x14ac:dyDescent="0.25">
      <c r="AA260" s="25"/>
      <c r="AB260" s="25"/>
      <c r="AC260" s="25"/>
      <c r="AD260" s="25"/>
    </row>
    <row r="261" spans="27:30" x14ac:dyDescent="0.25">
      <c r="AA261" s="25"/>
      <c r="AB261" s="25"/>
      <c r="AC261" s="25"/>
      <c r="AD261" s="25"/>
    </row>
    <row r="262" spans="27:30" x14ac:dyDescent="0.25">
      <c r="AA262" s="25"/>
      <c r="AB262" s="25"/>
      <c r="AC262" s="25"/>
      <c r="AD262" s="25"/>
    </row>
    <row r="263" spans="27:30" x14ac:dyDescent="0.25">
      <c r="AA263" s="25"/>
      <c r="AB263" s="25"/>
      <c r="AC263" s="25"/>
      <c r="AD263" s="25"/>
    </row>
  </sheetData>
  <mergeCells count="11">
    <mergeCell ref="C53:D53"/>
    <mergeCell ref="G53:O53"/>
    <mergeCell ref="A55:A62"/>
    <mergeCell ref="A64:A81"/>
    <mergeCell ref="A83:A100"/>
    <mergeCell ref="A40:A49"/>
    <mergeCell ref="C8:D8"/>
    <mergeCell ref="P9:Z9"/>
    <mergeCell ref="A10:A17"/>
    <mergeCell ref="A19:A27"/>
    <mergeCell ref="A29:A38"/>
  </mergeCells>
  <conditionalFormatting sqref="Q14">
    <cfRule type="expression" dxfId="76" priority="120">
      <formula>"---"</formula>
    </cfRule>
  </conditionalFormatting>
  <conditionalFormatting sqref="G55:G61 H42:H48">
    <cfRule type="expression" dxfId="75" priority="119">
      <formula>"---"</formula>
    </cfRule>
  </conditionalFormatting>
  <conditionalFormatting sqref="G63:I63">
    <cfRule type="expression" dxfId="74" priority="118">
      <formula>"---"</formula>
    </cfRule>
  </conditionalFormatting>
  <conditionalFormatting sqref="G82:I82">
    <cfRule type="expression" dxfId="73" priority="117">
      <formula>"---"</formula>
    </cfRule>
  </conditionalFormatting>
  <conditionalFormatting sqref="G62">
    <cfRule type="expression" dxfId="72" priority="116">
      <formula>"---"</formula>
    </cfRule>
  </conditionalFormatting>
  <conditionalFormatting sqref="G89:H89 G91:H91 G93:H93 G95:H95 G97:H97 G100:H100">
    <cfRule type="expression" dxfId="71" priority="112">
      <formula>"---"</formula>
    </cfRule>
  </conditionalFormatting>
  <conditionalFormatting sqref="G64:H64 G66:H69">
    <cfRule type="expression" dxfId="70" priority="115">
      <formula>"---"</formula>
    </cfRule>
  </conditionalFormatting>
  <conditionalFormatting sqref="G85:H85 G87:H87">
    <cfRule type="expression" dxfId="69" priority="114">
      <formula>"---"</formula>
    </cfRule>
  </conditionalFormatting>
  <conditionalFormatting sqref="G70:H79 G81:H81 H80">
    <cfRule type="expression" dxfId="68" priority="113">
      <formula>"---"</formula>
    </cfRule>
  </conditionalFormatting>
  <conditionalFormatting sqref="G109:I112">
    <cfRule type="expression" dxfId="67" priority="111">
      <formula>"---"</formula>
    </cfRule>
  </conditionalFormatting>
  <conditionalFormatting sqref="I64:I81 I41:I48">
    <cfRule type="expression" dxfId="66" priority="105">
      <formula>ABS(I41)&gt;0.05</formula>
    </cfRule>
  </conditionalFormatting>
  <conditionalFormatting sqref="G80">
    <cfRule type="expression" dxfId="65" priority="104">
      <formula>"---"</formula>
    </cfRule>
  </conditionalFormatting>
  <conditionalFormatting sqref="G86:H86">
    <cfRule type="expression" dxfId="64" priority="98">
      <formula>"---"</formula>
    </cfRule>
  </conditionalFormatting>
  <conditionalFormatting sqref="G88:H88">
    <cfRule type="expression" dxfId="63" priority="96">
      <formula>"---"</formula>
    </cfRule>
  </conditionalFormatting>
  <conditionalFormatting sqref="G90:H90">
    <cfRule type="expression" dxfId="62" priority="94">
      <formula>"---"</formula>
    </cfRule>
  </conditionalFormatting>
  <conditionalFormatting sqref="G92:H92">
    <cfRule type="expression" dxfId="61" priority="92">
      <formula>"---"</formula>
    </cfRule>
  </conditionalFormatting>
  <conditionalFormatting sqref="G94:H94">
    <cfRule type="expression" dxfId="60" priority="90">
      <formula>"---"</formula>
    </cfRule>
  </conditionalFormatting>
  <conditionalFormatting sqref="G96:H96">
    <cfRule type="expression" dxfId="59" priority="88">
      <formula>"---"</formula>
    </cfRule>
  </conditionalFormatting>
  <conditionalFormatting sqref="G98:H98">
    <cfRule type="expression" dxfId="58" priority="86">
      <formula>"---"</formula>
    </cfRule>
  </conditionalFormatting>
  <conditionalFormatting sqref="I85:I98 I100">
    <cfRule type="expression" dxfId="57" priority="78">
      <formula>ABS(I85)&gt;0.05</formula>
    </cfRule>
  </conditionalFormatting>
  <conditionalFormatting sqref="G83:H83">
    <cfRule type="expression" dxfId="56" priority="77">
      <formula>"---"</formula>
    </cfRule>
  </conditionalFormatting>
  <conditionalFormatting sqref="I83">
    <cfRule type="expression" dxfId="55" priority="76">
      <formula>ABS(I83)&gt;0.05</formula>
    </cfRule>
  </conditionalFormatting>
  <conditionalFormatting sqref="I84">
    <cfRule type="expression" dxfId="54" priority="74">
      <formula>ABS(I84)&gt;0.05</formula>
    </cfRule>
  </conditionalFormatting>
  <conditionalFormatting sqref="G65:H65">
    <cfRule type="expression" dxfId="53" priority="73">
      <formula>"---"</formula>
    </cfRule>
  </conditionalFormatting>
  <conditionalFormatting sqref="G84:H84">
    <cfRule type="expression" dxfId="52" priority="72">
      <formula>"---"</formula>
    </cfRule>
  </conditionalFormatting>
  <conditionalFormatting sqref="G99:H99">
    <cfRule type="expression" dxfId="51" priority="71">
      <formula>"---"</formula>
    </cfRule>
  </conditionalFormatting>
  <conditionalFormatting sqref="I99">
    <cfRule type="expression" dxfId="50" priority="70">
      <formula>ABS(I99)&gt;0.05</formula>
    </cfRule>
  </conditionalFormatting>
  <conditionalFormatting sqref="H40">
    <cfRule type="expression" dxfId="49" priority="68">
      <formula>"---"</formula>
    </cfRule>
  </conditionalFormatting>
  <conditionalFormatting sqref="H41">
    <cfRule type="expression" dxfId="48" priority="66">
      <formula>"---"</formula>
    </cfRule>
  </conditionalFormatting>
  <conditionalFormatting sqref="I49">
    <cfRule type="expression" dxfId="47" priority="59">
      <formula>ABS(I49)&gt;0.05</formula>
    </cfRule>
  </conditionalFormatting>
  <conditionalFormatting sqref="H49">
    <cfRule type="expression" dxfId="46" priority="63">
      <formula>"---"</formula>
    </cfRule>
  </conditionalFormatting>
  <conditionalFormatting sqref="I40">
    <cfRule type="expression" dxfId="45" priority="61">
      <formula>ABS(I40)&gt;0.05</formula>
    </cfRule>
  </conditionalFormatting>
  <conditionalFormatting sqref="H19">
    <cfRule type="expression" dxfId="44" priority="58">
      <formula>"---"</formula>
    </cfRule>
  </conditionalFormatting>
  <conditionalFormatting sqref="I13">
    <cfRule type="expression" dxfId="43" priority="31">
      <formula>ABS(I13)&gt;0.05</formula>
    </cfRule>
  </conditionalFormatting>
  <conditionalFormatting sqref="H20">
    <cfRule type="expression" dxfId="42" priority="55">
      <formula>"---"</formula>
    </cfRule>
  </conditionalFormatting>
  <conditionalFormatting sqref="I59">
    <cfRule type="expression" dxfId="41" priority="14">
      <formula>ABS(I59)&gt;0.05</formula>
    </cfRule>
  </conditionalFormatting>
  <conditionalFormatting sqref="H21:H26">
    <cfRule type="expression" dxfId="40" priority="53">
      <formula>"---"</formula>
    </cfRule>
  </conditionalFormatting>
  <conditionalFormatting sqref="I15">
    <cfRule type="expression" dxfId="39" priority="27">
      <formula>ABS(I15)&gt;0.05</formula>
    </cfRule>
  </conditionalFormatting>
  <conditionalFormatting sqref="H27">
    <cfRule type="expression" dxfId="38" priority="52">
      <formula>"---"</formula>
    </cfRule>
  </conditionalFormatting>
  <conditionalFormatting sqref="I19">
    <cfRule type="expression" dxfId="37" priority="50">
      <formula>ABS(I19)&gt;0.05</formula>
    </cfRule>
  </conditionalFormatting>
  <conditionalFormatting sqref="I20:I26">
    <cfRule type="expression" dxfId="36" priority="49">
      <formula>ABS(I20)&gt;0.05</formula>
    </cfRule>
  </conditionalFormatting>
  <conditionalFormatting sqref="I27">
    <cfRule type="expression" dxfId="35" priority="48">
      <formula>ABS(I27)&gt;0.05</formula>
    </cfRule>
  </conditionalFormatting>
  <conditionalFormatting sqref="H29">
    <cfRule type="expression" dxfId="34" priority="47">
      <formula>"---"</formula>
    </cfRule>
  </conditionalFormatting>
  <conditionalFormatting sqref="I29">
    <cfRule type="expression" dxfId="33" priority="45">
      <formula>ABS(I29)&gt;0.05</formula>
    </cfRule>
  </conditionalFormatting>
  <conditionalFormatting sqref="I30:I37">
    <cfRule type="expression" dxfId="32" priority="44">
      <formula>ABS(I30)&gt;0.05</formula>
    </cfRule>
  </conditionalFormatting>
  <conditionalFormatting sqref="H30:H37">
    <cfRule type="expression" dxfId="31" priority="43">
      <formula>"---"</formula>
    </cfRule>
  </conditionalFormatting>
  <conditionalFormatting sqref="I38">
    <cfRule type="expression" dxfId="30" priority="41">
      <formula>ABS(I38)&gt;0.05</formula>
    </cfRule>
  </conditionalFormatting>
  <conditionalFormatting sqref="H38">
    <cfRule type="expression" dxfId="29" priority="42">
      <formula>"---"</formula>
    </cfRule>
  </conditionalFormatting>
  <conditionalFormatting sqref="H10">
    <cfRule type="expression" dxfId="28" priority="40">
      <formula>"---"</formula>
    </cfRule>
  </conditionalFormatting>
  <conditionalFormatting sqref="I10">
    <cfRule type="expression" dxfId="27" priority="39">
      <formula>ABS(I10)&gt;0.05</formula>
    </cfRule>
  </conditionalFormatting>
  <conditionalFormatting sqref="H11">
    <cfRule type="expression" dxfId="26" priority="36">
      <formula>"---"</formula>
    </cfRule>
  </conditionalFormatting>
  <conditionalFormatting sqref="I11">
    <cfRule type="expression" dxfId="25" priority="35">
      <formula>ABS(I11)&gt;0.05</formula>
    </cfRule>
  </conditionalFormatting>
  <conditionalFormatting sqref="H12">
    <cfRule type="expression" dxfId="24" priority="34">
      <formula>"---"</formula>
    </cfRule>
  </conditionalFormatting>
  <conditionalFormatting sqref="I12">
    <cfRule type="expression" dxfId="23" priority="33">
      <formula>ABS(I12)&gt;0.05</formula>
    </cfRule>
  </conditionalFormatting>
  <conditionalFormatting sqref="H13">
    <cfRule type="expression" dxfId="22" priority="32">
      <formula>"---"</formula>
    </cfRule>
  </conditionalFormatting>
  <conditionalFormatting sqref="H14">
    <cfRule type="expression" dxfId="21" priority="30">
      <formula>"---"</formula>
    </cfRule>
  </conditionalFormatting>
  <conditionalFormatting sqref="I14">
    <cfRule type="expression" dxfId="20" priority="29">
      <formula>ABS(I14)&gt;0.05</formula>
    </cfRule>
  </conditionalFormatting>
  <conditionalFormatting sqref="H15">
    <cfRule type="expression" dxfId="19" priority="28">
      <formula>"---"</formula>
    </cfRule>
  </conditionalFormatting>
  <conditionalFormatting sqref="H55">
    <cfRule type="expression" dxfId="18" priority="24">
      <formula>"---"</formula>
    </cfRule>
  </conditionalFormatting>
  <conditionalFormatting sqref="I55">
    <cfRule type="expression" dxfId="17" priority="23">
      <formula>ABS(I55)&gt;0.05</formula>
    </cfRule>
  </conditionalFormatting>
  <conditionalFormatting sqref="H62">
    <cfRule type="expression" dxfId="16" priority="22">
      <formula>"---"</formula>
    </cfRule>
  </conditionalFormatting>
  <conditionalFormatting sqref="I62">
    <cfRule type="expression" dxfId="15" priority="21">
      <formula>ABS(I62)&gt;0.05</formula>
    </cfRule>
  </conditionalFormatting>
  <conditionalFormatting sqref="I56">
    <cfRule type="expression" dxfId="14" priority="20">
      <formula>ABS(I56)&gt;0.05</formula>
    </cfRule>
  </conditionalFormatting>
  <conditionalFormatting sqref="H56">
    <cfRule type="expression" dxfId="13" priority="19">
      <formula>"---"</formula>
    </cfRule>
  </conditionalFormatting>
  <conditionalFormatting sqref="I57">
    <cfRule type="expression" dxfId="12" priority="18">
      <formula>ABS(I57)&gt;0.05</formula>
    </cfRule>
  </conditionalFormatting>
  <conditionalFormatting sqref="H57">
    <cfRule type="expression" dxfId="11" priority="17">
      <formula>"---"</formula>
    </cfRule>
  </conditionalFormatting>
  <conditionalFormatting sqref="I58">
    <cfRule type="expression" dxfId="10" priority="16">
      <formula>ABS(I58)&gt;0.05</formula>
    </cfRule>
  </conditionalFormatting>
  <conditionalFormatting sqref="H58">
    <cfRule type="expression" dxfId="9" priority="15">
      <formula>"---"</formula>
    </cfRule>
  </conditionalFormatting>
  <conditionalFormatting sqref="H59">
    <cfRule type="expression" dxfId="8" priority="13">
      <formula>"---"</formula>
    </cfRule>
  </conditionalFormatting>
  <conditionalFormatting sqref="I60">
    <cfRule type="expression" dxfId="7" priority="12">
      <formula>ABS(I60)&gt;0.05</formula>
    </cfRule>
  </conditionalFormatting>
  <conditionalFormatting sqref="H60">
    <cfRule type="expression" dxfId="6" priority="11">
      <formula>"---"</formula>
    </cfRule>
  </conditionalFormatting>
  <conditionalFormatting sqref="I61">
    <cfRule type="expression" dxfId="5" priority="10">
      <formula>ABS(I61)&gt;0.05</formula>
    </cfRule>
  </conditionalFormatting>
  <conditionalFormatting sqref="H61">
    <cfRule type="expression" dxfId="4" priority="9">
      <formula>"---"</formula>
    </cfRule>
  </conditionalFormatting>
  <conditionalFormatting sqref="I16">
    <cfRule type="expression" dxfId="3" priority="7">
      <formula>ABS(I16)&gt;0.05</formula>
    </cfRule>
  </conditionalFormatting>
  <conditionalFormatting sqref="H16">
    <cfRule type="expression" dxfId="2" priority="8">
      <formula>"---"</formula>
    </cfRule>
  </conditionalFormatting>
  <conditionalFormatting sqref="I17">
    <cfRule type="expression" dxfId="1" priority="1">
      <formula>ABS(I17)&gt;0.05</formula>
    </cfRule>
  </conditionalFormatting>
  <conditionalFormatting sqref="H17">
    <cfRule type="expression" dxfId="0" priority="2">
      <formula>"---"</formula>
    </cfRule>
  </conditionalFormatting>
  <pageMargins left="0.7" right="0.7" top="0.75" bottom="0.75" header="0.3" footer="0.3"/>
  <pageSetup orientation="portrait" copies="2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63"/>
  <sheetViews>
    <sheetView zoomScale="85" zoomScaleNormal="85" workbookViewId="0">
      <selection activeCell="E42" sqref="E42"/>
    </sheetView>
  </sheetViews>
  <sheetFormatPr defaultColWidth="9.140625" defaultRowHeight="15" x14ac:dyDescent="0.25"/>
  <cols>
    <col min="1" max="2" width="9.140625" style="2"/>
    <col min="3" max="4" width="10.85546875" style="2" customWidth="1"/>
    <col min="5" max="5" width="11.42578125" style="2" customWidth="1"/>
    <col min="6" max="6" width="11.7109375" style="2" hidden="1" customWidth="1"/>
    <col min="7" max="7" width="9.5703125" style="2" customWidth="1"/>
    <col min="8" max="8" width="7.85546875" style="2" bestFit="1" customWidth="1"/>
    <col min="9" max="9" width="9.5703125" style="2" customWidth="1"/>
    <col min="10" max="12" width="9.42578125" style="2" customWidth="1"/>
    <col min="13" max="13" width="10.28515625" style="2" customWidth="1"/>
    <col min="14" max="14" width="9.28515625" style="2" customWidth="1"/>
    <col min="15" max="16384" width="9.140625" style="2"/>
  </cols>
  <sheetData>
    <row r="1" spans="1:24" ht="15.75" thickBot="1" x14ac:dyDescent="0.3"/>
    <row r="2" spans="1:24" ht="40.5" customHeight="1" thickBot="1" x14ac:dyDescent="0.3">
      <c r="C2" s="944" t="s">
        <v>28</v>
      </c>
      <c r="D2" s="945"/>
      <c r="E2" s="144" t="s">
        <v>38</v>
      </c>
      <c r="G2" s="108" t="s">
        <v>32</v>
      </c>
      <c r="H2" s="108"/>
      <c r="I2" s="108"/>
      <c r="J2" s="108"/>
      <c r="K2" s="108"/>
      <c r="M2" s="1"/>
    </row>
    <row r="3" spans="1:24" ht="46.5" customHeight="1" thickBot="1" x14ac:dyDescent="0.35">
      <c r="A3" s="3" t="s">
        <v>7</v>
      </c>
      <c r="B3" s="3" t="s">
        <v>8</v>
      </c>
      <c r="C3" s="80" t="s">
        <v>33</v>
      </c>
      <c r="D3" s="81" t="s">
        <v>30</v>
      </c>
      <c r="E3" s="126" t="s">
        <v>39</v>
      </c>
      <c r="F3" s="67" t="s">
        <v>27</v>
      </c>
      <c r="G3" s="115" t="s">
        <v>26</v>
      </c>
      <c r="H3" s="127" t="s">
        <v>1</v>
      </c>
      <c r="I3" s="128" t="s">
        <v>0</v>
      </c>
      <c r="J3" s="128" t="s">
        <v>2</v>
      </c>
      <c r="K3" s="128" t="s">
        <v>5</v>
      </c>
      <c r="L3" s="128" t="s">
        <v>3</v>
      </c>
      <c r="M3" s="129" t="s">
        <v>6</v>
      </c>
      <c r="N3" s="964" t="s">
        <v>43</v>
      </c>
      <c r="O3" s="965"/>
      <c r="P3" s="965"/>
      <c r="Q3" s="965"/>
      <c r="R3" s="965"/>
      <c r="S3" s="965"/>
      <c r="T3" s="965"/>
      <c r="U3" s="965"/>
      <c r="V3" s="965"/>
      <c r="W3" s="965"/>
      <c r="X3" s="965"/>
    </row>
    <row r="4" spans="1:24" x14ac:dyDescent="0.25">
      <c r="A4" s="937">
        <v>340</v>
      </c>
      <c r="B4" s="146" t="s">
        <v>4</v>
      </c>
      <c r="C4" s="48">
        <v>25</v>
      </c>
      <c r="D4" s="48">
        <v>300</v>
      </c>
      <c r="E4" s="134">
        <f>IF(OR(C4="",D4="", D4&lt;0),"---",        IF(AND(C4&gt;0, D4&gt;=M4,D4&gt;=ABS(C4)*K4),D4,"---"))</f>
        <v>300</v>
      </c>
      <c r="F4" s="13" t="e">
        <f>IF(OR(#REF!="", E4=""),"",(E4-#REF!*J4)^H4*(I4+E4*L4))</f>
        <v>#REF!</v>
      </c>
      <c r="G4" s="132">
        <f t="shared" ref="G4:G12" si="0">IF(E4="---","---", (E4-ABS(C4)*J4)^H4*(I4+E4*L4))</f>
        <v>503.60013781560741</v>
      </c>
      <c r="H4" s="116">
        <v>0.501</v>
      </c>
      <c r="I4" s="100">
        <v>28.91</v>
      </c>
      <c r="J4" s="100">
        <v>0</v>
      </c>
      <c r="K4" s="100">
        <v>0.4</v>
      </c>
      <c r="L4" s="100">
        <v>0</v>
      </c>
      <c r="M4" s="102">
        <v>20</v>
      </c>
      <c r="N4" s="23" t="s">
        <v>36</v>
      </c>
      <c r="O4" s="23"/>
      <c r="P4" s="23"/>
      <c r="Q4" s="23"/>
      <c r="R4" s="23"/>
      <c r="S4" s="23"/>
      <c r="T4" s="23"/>
      <c r="U4" s="23"/>
    </row>
    <row r="5" spans="1:24" ht="15" customHeight="1" x14ac:dyDescent="0.25">
      <c r="A5" s="938"/>
      <c r="B5" s="45" t="s">
        <v>4</v>
      </c>
      <c r="C5" s="49">
        <v>-25</v>
      </c>
      <c r="D5" s="49">
        <v>300</v>
      </c>
      <c r="E5" s="135">
        <f>IF(OR(C5="",D5="", D5&lt;0),"---",        IF(AND(C5&lt;0, D5&gt;=M5,D5&gt;=ABS(C5)*K5),D5,"---"))</f>
        <v>300</v>
      </c>
      <c r="F5" s="15" t="e">
        <f>IF(OR(#REF!="", E5=""),"",(E5-#REF!*J5)^H5*(I5+E5*L5))</f>
        <v>#REF!</v>
      </c>
      <c r="G5" s="137">
        <f t="shared" si="0"/>
        <v>518.70814195007563</v>
      </c>
      <c r="H5" s="117">
        <v>0.501</v>
      </c>
      <c r="I5" s="106">
        <v>29.7773</v>
      </c>
      <c r="J5" s="103">
        <v>0</v>
      </c>
      <c r="K5" s="103">
        <v>0.4</v>
      </c>
      <c r="L5" s="104">
        <v>0</v>
      </c>
      <c r="M5" s="107">
        <v>20</v>
      </c>
      <c r="N5" s="23" t="s">
        <v>37</v>
      </c>
      <c r="O5" s="23"/>
      <c r="P5" s="23"/>
      <c r="Q5" s="30"/>
      <c r="R5" s="30"/>
      <c r="S5" s="30"/>
      <c r="T5" s="30"/>
      <c r="U5" s="30"/>
    </row>
    <row r="6" spans="1:24" ht="15" customHeight="1" x14ac:dyDescent="0.25">
      <c r="A6" s="938"/>
      <c r="B6" s="54">
        <v>102</v>
      </c>
      <c r="C6" s="55">
        <v>25</v>
      </c>
      <c r="D6" s="55">
        <v>300</v>
      </c>
      <c r="E6" s="135">
        <f t="shared" ref="E6:E12" si="1">IF(OR(C6="",D6="", D6&lt;0),"---",        IF(AND(D6&gt;=M6,D6&gt;=ABS(C6)*K6),D6,"---"))</f>
        <v>300</v>
      </c>
      <c r="F6" s="20" t="e">
        <f>IF(OR(#REF!="", E6=""),"",(E6-#REF!*J6)^H6*(I6+E6*L6))</f>
        <v>#REF!</v>
      </c>
      <c r="G6" s="137">
        <f t="shared" si="0"/>
        <v>309.66014867595442</v>
      </c>
      <c r="H6" s="111">
        <v>0.59</v>
      </c>
      <c r="I6" s="57">
        <v>10.7</v>
      </c>
      <c r="J6" s="56">
        <v>0</v>
      </c>
      <c r="K6" s="56">
        <v>0.4</v>
      </c>
      <c r="L6" s="56">
        <v>0</v>
      </c>
      <c r="M6" s="37">
        <v>100</v>
      </c>
      <c r="O6" s="30"/>
      <c r="P6" s="30"/>
      <c r="Q6" s="30"/>
      <c r="R6" s="30"/>
    </row>
    <row r="7" spans="1:24" ht="15" customHeight="1" x14ac:dyDescent="0.25">
      <c r="A7" s="938"/>
      <c r="B7" s="6">
        <v>74</v>
      </c>
      <c r="C7" s="49">
        <v>25</v>
      </c>
      <c r="D7" s="49">
        <v>300</v>
      </c>
      <c r="E7" s="135">
        <f t="shared" si="1"/>
        <v>300</v>
      </c>
      <c r="F7" s="15" t="e">
        <f>IF(OR(#REF!="", E7=""),"",(E7-#REF!*J7)^H7*(I7+E7*L7))</f>
        <v>#REF!</v>
      </c>
      <c r="G7" s="137">
        <f t="shared" si="0"/>
        <v>125.76982512573395</v>
      </c>
      <c r="H7" s="112">
        <v>0.50449999999999995</v>
      </c>
      <c r="I7" s="8">
        <v>7.0773192087114243</v>
      </c>
      <c r="J7" s="5">
        <v>0</v>
      </c>
      <c r="K7" s="5">
        <v>0.25</v>
      </c>
      <c r="L7" s="36">
        <v>0</v>
      </c>
      <c r="M7" s="37">
        <v>15</v>
      </c>
    </row>
    <row r="8" spans="1:24" ht="15" customHeight="1" x14ac:dyDescent="0.25">
      <c r="A8" s="938"/>
      <c r="B8" s="46">
        <v>47</v>
      </c>
      <c r="C8" s="49">
        <v>25</v>
      </c>
      <c r="D8" s="49">
        <v>15</v>
      </c>
      <c r="E8" s="135">
        <f t="shared" si="1"/>
        <v>15</v>
      </c>
      <c r="F8" s="15" t="e">
        <f>IF(OR(#REF!="", E8=""),"",(E8-#REF!*J8)^H8*(I8+E8*L8))</f>
        <v>#REF!</v>
      </c>
      <c r="G8" s="137">
        <f t="shared" si="0"/>
        <v>12.552090929597904</v>
      </c>
      <c r="H8" s="113">
        <v>0.5</v>
      </c>
      <c r="I8" s="8">
        <v>3.2409359420275905</v>
      </c>
      <c r="J8" s="5">
        <v>0</v>
      </c>
      <c r="K8" s="152">
        <v>0.1</v>
      </c>
      <c r="L8" s="36">
        <v>0</v>
      </c>
      <c r="M8" s="153">
        <v>10</v>
      </c>
    </row>
    <row r="9" spans="1:24" ht="15" customHeight="1" x14ac:dyDescent="0.25">
      <c r="A9" s="938"/>
      <c r="B9" s="6">
        <v>29</v>
      </c>
      <c r="C9" s="49">
        <v>25</v>
      </c>
      <c r="D9" s="49">
        <v>25</v>
      </c>
      <c r="E9" s="135">
        <f t="shared" si="1"/>
        <v>25</v>
      </c>
      <c r="F9" s="20" t="e">
        <f>IF(OR(#REF!="", E9=""),"",(E9-#REF!*J9)^H9*(I9+E9*L9))</f>
        <v>#REF!</v>
      </c>
      <c r="G9" s="147">
        <f t="shared" si="0"/>
        <v>5.9896857939955401</v>
      </c>
      <c r="H9" s="113">
        <v>0.502</v>
      </c>
      <c r="I9" s="8">
        <v>1.1902499077349771</v>
      </c>
      <c r="J9" s="5">
        <v>0</v>
      </c>
      <c r="K9" s="5">
        <v>0.2</v>
      </c>
      <c r="L9" s="36">
        <v>0</v>
      </c>
      <c r="M9" s="37">
        <v>20</v>
      </c>
    </row>
    <row r="10" spans="1:24" ht="15" customHeight="1" x14ac:dyDescent="0.25">
      <c r="A10" s="938"/>
      <c r="B10" s="6">
        <v>18</v>
      </c>
      <c r="C10" s="49">
        <v>25</v>
      </c>
      <c r="D10" s="49">
        <v>35</v>
      </c>
      <c r="E10" s="135">
        <f t="shared" si="1"/>
        <v>35</v>
      </c>
      <c r="F10" s="20" t="e">
        <f>IF(OR(#REF!="", E10=""),"",(E10-#REF!*J10)^H10*(I10+E10*L10))</f>
        <v>#REF!</v>
      </c>
      <c r="G10" s="147">
        <f t="shared" si="0"/>
        <v>2.6940531170632043</v>
      </c>
      <c r="H10" s="112">
        <v>0.499</v>
      </c>
      <c r="I10" s="5">
        <v>0.45700000000000002</v>
      </c>
      <c r="J10" s="5">
        <v>0</v>
      </c>
      <c r="K10" s="5">
        <v>0.25</v>
      </c>
      <c r="L10" s="36">
        <v>0</v>
      </c>
      <c r="M10" s="37">
        <v>25</v>
      </c>
      <c r="N10" s="1"/>
    </row>
    <row r="11" spans="1:24" ht="15" customHeight="1" x14ac:dyDescent="0.25">
      <c r="A11" s="938"/>
      <c r="B11" s="6">
        <v>11</v>
      </c>
      <c r="C11" s="49">
        <v>25</v>
      </c>
      <c r="D11" s="49">
        <v>300</v>
      </c>
      <c r="E11" s="135">
        <f t="shared" si="1"/>
        <v>300</v>
      </c>
      <c r="F11" s="20" t="e">
        <f>IF(OR(#REF!="", E11=""),"",(E11-#REF!*J11)^H11*(I11+E11*L11))</f>
        <v>#REF!</v>
      </c>
      <c r="G11" s="147">
        <f t="shared" si="0"/>
        <v>3.2142639484993598</v>
      </c>
      <c r="H11" s="113">
        <v>0.48</v>
      </c>
      <c r="I11" s="4">
        <v>0.20799999999999999</v>
      </c>
      <c r="J11" s="5">
        <v>0</v>
      </c>
      <c r="K11" s="5">
        <v>0.25</v>
      </c>
      <c r="L11" s="36">
        <v>0</v>
      </c>
      <c r="M11" s="37">
        <v>25</v>
      </c>
    </row>
    <row r="12" spans="1:24" ht="15.75" thickBot="1" x14ac:dyDescent="0.3">
      <c r="A12" s="939"/>
      <c r="B12" s="7">
        <v>7</v>
      </c>
      <c r="C12" s="50">
        <v>25</v>
      </c>
      <c r="D12" s="50">
        <v>250</v>
      </c>
      <c r="E12" s="136">
        <f t="shared" si="1"/>
        <v>250</v>
      </c>
      <c r="F12" s="21" t="e">
        <f>IF(OR(#REF!="", E12=""),"",(E12-#REF!*J12)^H12*(I12+E12*L12))</f>
        <v>#REF!</v>
      </c>
      <c r="G12" s="149">
        <f t="shared" si="0"/>
        <v>1.1352576800004481</v>
      </c>
      <c r="H12" s="114">
        <v>0.5</v>
      </c>
      <c r="I12" s="19">
        <v>7.1800000000000003E-2</v>
      </c>
      <c r="J12" s="19">
        <v>0</v>
      </c>
      <c r="K12" s="19">
        <v>0.11</v>
      </c>
      <c r="L12" s="39">
        <v>0</v>
      </c>
      <c r="M12" s="40">
        <v>25</v>
      </c>
    </row>
    <row r="13" spans="1:24" ht="15.75" customHeight="1" x14ac:dyDescent="0.25"/>
    <row r="14" spans="1:24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24" x14ac:dyDescent="0.25">
      <c r="C15" s="27" t="s">
        <v>9</v>
      </c>
      <c r="D15" s="27"/>
      <c r="E15" s="27"/>
      <c r="F15" s="27"/>
      <c r="G15" s="28">
        <v>25</v>
      </c>
    </row>
    <row r="16" spans="1:24" x14ac:dyDescent="0.25">
      <c r="C16" s="22"/>
      <c r="D16" s="22"/>
      <c r="E16" s="43"/>
      <c r="F16" s="43"/>
      <c r="G16" s="43"/>
    </row>
    <row r="17" spans="3:7" x14ac:dyDescent="0.25">
      <c r="C17" s="26" t="s">
        <v>29</v>
      </c>
      <c r="D17" s="26" t="s">
        <v>4</v>
      </c>
      <c r="E17" s="22">
        <v>74</v>
      </c>
      <c r="F17" s="22">
        <v>47</v>
      </c>
      <c r="G17" s="22">
        <v>29</v>
      </c>
    </row>
    <row r="18" spans="3:7" x14ac:dyDescent="0.25">
      <c r="C18" s="2">
        <v>10</v>
      </c>
      <c r="D18" s="52" t="str">
        <f t="shared" ref="D18:D49" si="2">IF($G$15="","", IF(AND(C18&gt;=$M$4,C18&gt;=$G$15*$K$4,C18&gt;0),(C18-$G$15*$J$4)^$H$4*($I$4+C18*$L$4),"---"))</f>
        <v>---</v>
      </c>
      <c r="E18" s="32" t="str">
        <f t="shared" ref="E18:E49" si="3">IF($G$15="","", IF(AND(C18&gt;=$M$7,C18&gt;=$G$15*$K$7,C18&gt;0),(C18-$G$15*$J$7)^$H$7*($I$7+C18*$L$7),"---"))</f>
        <v>---</v>
      </c>
      <c r="F18" s="32">
        <f t="shared" ref="F18:F49" si="4">IF($G$15="","", IF(AND(C18&gt;=$M$8,C18&gt;=$G$15*$K$8,C18&gt;0),(C18-$G$15*$J$8)^$H$8*($I$8+C18*$L$8),"---"))</f>
        <v>10.248739327510611</v>
      </c>
      <c r="G18" s="52" t="str">
        <f t="shared" ref="G18:G49" si="5">IF($G$15="","", IF(AND(C18&gt;=$M$9,C18&gt;=$G$15*$K$9,C18&gt;0),(C18-$G$15*$J$9)^$H$9*($I$9+C18*$L$9),"---"))</f>
        <v>---</v>
      </c>
    </row>
    <row r="19" spans="3:7" x14ac:dyDescent="0.25">
      <c r="C19" s="2">
        <v>12</v>
      </c>
      <c r="D19" s="52" t="str">
        <f t="shared" si="2"/>
        <v>---</v>
      </c>
      <c r="E19" s="32" t="str">
        <f t="shared" si="3"/>
        <v>---</v>
      </c>
      <c r="F19" s="32">
        <f t="shared" si="4"/>
        <v>11.226931431335776</v>
      </c>
      <c r="G19" s="52" t="str">
        <f t="shared" si="5"/>
        <v>---</v>
      </c>
    </row>
    <row r="20" spans="3:7" x14ac:dyDescent="0.25">
      <c r="C20" s="2">
        <v>14</v>
      </c>
      <c r="D20" s="52" t="str">
        <f t="shared" si="2"/>
        <v>---</v>
      </c>
      <c r="E20" s="32" t="str">
        <f t="shared" si="3"/>
        <v>---</v>
      </c>
      <c r="F20" s="32">
        <f t="shared" si="4"/>
        <v>12.126471907548696</v>
      </c>
      <c r="G20" s="52" t="str">
        <f t="shared" si="5"/>
        <v>---</v>
      </c>
    </row>
    <row r="21" spans="3:7" x14ac:dyDescent="0.25">
      <c r="C21" s="2">
        <v>16</v>
      </c>
      <c r="D21" s="52" t="str">
        <f t="shared" si="2"/>
        <v>---</v>
      </c>
      <c r="E21" s="52">
        <f t="shared" si="3"/>
        <v>28.664694351738955</v>
      </c>
      <c r="F21" s="32">
        <f t="shared" si="4"/>
        <v>12.963743768110362</v>
      </c>
      <c r="G21" s="52" t="str">
        <f t="shared" si="5"/>
        <v>---</v>
      </c>
    </row>
    <row r="22" spans="3:7" x14ac:dyDescent="0.25">
      <c r="C22" s="2">
        <v>18</v>
      </c>
      <c r="D22" s="52" t="str">
        <f t="shared" si="2"/>
        <v>---</v>
      </c>
      <c r="E22" s="52">
        <f t="shared" si="3"/>
        <v>30.419618480606118</v>
      </c>
      <c r="F22" s="32">
        <f t="shared" si="4"/>
        <v>13.750126691993524</v>
      </c>
      <c r="G22" s="52" t="str">
        <f t="shared" si="5"/>
        <v>---</v>
      </c>
    </row>
    <row r="23" spans="3:7" x14ac:dyDescent="0.25">
      <c r="C23" s="2">
        <v>20</v>
      </c>
      <c r="D23" s="25">
        <f t="shared" si="2"/>
        <v>129.67734776655371</v>
      </c>
      <c r="E23" s="25">
        <f t="shared" si="3"/>
        <v>32.080299698362168</v>
      </c>
      <c r="F23" s="25">
        <f t="shared" si="4"/>
        <v>14.49390615419202</v>
      </c>
      <c r="G23" s="25">
        <f t="shared" si="5"/>
        <v>5.3549474623502169</v>
      </c>
    </row>
    <row r="24" spans="3:7" x14ac:dyDescent="0.25">
      <c r="C24" s="2">
        <v>22</v>
      </c>
      <c r="D24" s="25">
        <f t="shared" si="2"/>
        <v>136.01971319033652</v>
      </c>
      <c r="E24" s="25">
        <f t="shared" si="3"/>
        <v>33.660535942878688</v>
      </c>
      <c r="F24" s="25">
        <f t="shared" si="4"/>
        <v>15.201337019064404</v>
      </c>
      <c r="G24" s="25">
        <f t="shared" si="5"/>
        <v>5.6173869662722371</v>
      </c>
    </row>
    <row r="25" spans="3:7" x14ac:dyDescent="0.25">
      <c r="C25" s="2">
        <v>24</v>
      </c>
      <c r="D25" s="25">
        <f t="shared" si="2"/>
        <v>142.08031908201897</v>
      </c>
      <c r="E25" s="25">
        <f t="shared" si="3"/>
        <v>35.17105174255709</v>
      </c>
      <c r="F25" s="25">
        <f t="shared" si="4"/>
        <v>15.877278694027838</v>
      </c>
      <c r="G25" s="25">
        <f t="shared" si="5"/>
        <v>5.8681904439197359</v>
      </c>
    </row>
    <row r="26" spans="3:7" x14ac:dyDescent="0.25">
      <c r="C26" s="2">
        <v>26</v>
      </c>
      <c r="D26" s="25">
        <f t="shared" si="2"/>
        <v>147.89372205337745</v>
      </c>
      <c r="E26" s="25">
        <f t="shared" si="3"/>
        <v>36.62037928813703</v>
      </c>
      <c r="F26" s="25">
        <f t="shared" si="4"/>
        <v>16.525595610702897</v>
      </c>
      <c r="G26" s="25">
        <f t="shared" si="5"/>
        <v>6.1087841117199142</v>
      </c>
    </row>
    <row r="27" spans="3:7" x14ac:dyDescent="0.25">
      <c r="C27" s="2">
        <v>28</v>
      </c>
      <c r="D27" s="25">
        <f t="shared" si="2"/>
        <v>153.48794283347257</v>
      </c>
      <c r="E27" s="25">
        <f t="shared" si="3"/>
        <v>38.015439070765694</v>
      </c>
      <c r="F27" s="25">
        <f t="shared" si="4"/>
        <v>17.149421035391704</v>
      </c>
      <c r="G27" s="25">
        <f t="shared" si="5"/>
        <v>6.340324535369259</v>
      </c>
    </row>
    <row r="28" spans="3:7" x14ac:dyDescent="0.25">
      <c r="C28" s="2">
        <v>30</v>
      </c>
      <c r="D28" s="25">
        <f t="shared" si="2"/>
        <v>158.88607631403406</v>
      </c>
      <c r="E28" s="25">
        <f t="shared" si="3"/>
        <v>39.361936560798732</v>
      </c>
      <c r="F28" s="25">
        <f t="shared" si="4"/>
        <v>17.751337228777668</v>
      </c>
      <c r="G28" s="25">
        <f t="shared" si="5"/>
        <v>6.563765038878671</v>
      </c>
    </row>
    <row r="29" spans="3:7" x14ac:dyDescent="0.25">
      <c r="C29" s="2">
        <v>32</v>
      </c>
      <c r="D29" s="25">
        <f t="shared" si="2"/>
        <v>164.10742491101223</v>
      </c>
      <c r="E29" s="25">
        <f t="shared" si="3"/>
        <v>40.664641519625661</v>
      </c>
      <c r="F29" s="25">
        <f t="shared" si="4"/>
        <v>18.333502255991366</v>
      </c>
      <c r="G29" s="25">
        <f t="shared" si="5"/>
        <v>6.779902455677564</v>
      </c>
    </row>
    <row r="30" spans="3:7" x14ac:dyDescent="0.25">
      <c r="C30" s="2">
        <v>34</v>
      </c>
      <c r="D30" s="25">
        <f t="shared" si="2"/>
        <v>169.16831716843757</v>
      </c>
      <c r="E30" s="25">
        <f t="shared" si="3"/>
        <v>41.927589792456416</v>
      </c>
      <c r="F30" s="25">
        <f t="shared" si="4"/>
        <v>18.897741572238019</v>
      </c>
      <c r="G30" s="25">
        <f t="shared" si="5"/>
        <v>6.989410898445751</v>
      </c>
    </row>
    <row r="31" spans="3:7" x14ac:dyDescent="0.25">
      <c r="C31" s="2">
        <v>36</v>
      </c>
      <c r="D31" s="25">
        <f t="shared" si="2"/>
        <v>174.0827122793022</v>
      </c>
      <c r="E31" s="25">
        <f t="shared" si="3"/>
        <v>43.15423236328995</v>
      </c>
      <c r="F31" s="25">
        <f t="shared" si="4"/>
        <v>19.445615652165543</v>
      </c>
      <c r="G31" s="25">
        <f t="shared" si="5"/>
        <v>7.192866699083817</v>
      </c>
    </row>
    <row r="32" spans="3:7" x14ac:dyDescent="0.25">
      <c r="C32" s="2">
        <v>38</v>
      </c>
      <c r="D32" s="25">
        <f t="shared" si="2"/>
        <v>178.86265522022171</v>
      </c>
      <c r="E32" s="25">
        <f t="shared" si="3"/>
        <v>44.347547601122585</v>
      </c>
      <c r="F32" s="25">
        <f t="shared" si="4"/>
        <v>19.978470903760329</v>
      </c>
      <c r="G32" s="25">
        <f t="shared" si="5"/>
        <v>7.3907671868345064</v>
      </c>
    </row>
    <row r="33" spans="3:7" x14ac:dyDescent="0.25">
      <c r="C33" s="2">
        <v>40</v>
      </c>
      <c r="D33" s="25">
        <f t="shared" si="2"/>
        <v>183.51862528587574</v>
      </c>
      <c r="E33" s="25">
        <f t="shared" si="3"/>
        <v>45.51012723416369</v>
      </c>
      <c r="F33" s="25">
        <f t="shared" si="4"/>
        <v>20.497478655021222</v>
      </c>
      <c r="G33" s="25">
        <f t="shared" si="5"/>
        <v>7.583545069109678</v>
      </c>
    </row>
    <row r="34" spans="3:7" x14ac:dyDescent="0.25">
      <c r="C34" s="2">
        <v>42</v>
      </c>
      <c r="D34" s="25">
        <f t="shared" si="2"/>
        <v>188.05980703912215</v>
      </c>
      <c r="E34" s="25">
        <f t="shared" si="3"/>
        <v>46.644243199223745</v>
      </c>
      <c r="F34" s="25">
        <f t="shared" si="4"/>
        <v>21.003665460431023</v>
      </c>
      <c r="G34" s="25">
        <f t="shared" si="5"/>
        <v>7.7715796117515046</v>
      </c>
    </row>
    <row r="35" spans="3:7" x14ac:dyDescent="0.25">
      <c r="C35" s="2">
        <v>44</v>
      </c>
      <c r="D35" s="25">
        <f t="shared" si="2"/>
        <v>192.49430379627086</v>
      </c>
      <c r="E35" s="25">
        <f t="shared" si="3"/>
        <v>47.751900323074565</v>
      </c>
      <c r="F35" s="25">
        <f t="shared" si="4"/>
        <v>21.497936978565075</v>
      </c>
      <c r="G35" s="25">
        <f t="shared" si="5"/>
        <v>7.9552054485812498</v>
      </c>
    </row>
    <row r="36" spans="3:7" x14ac:dyDescent="0.25">
      <c r="C36" s="2">
        <v>46</v>
      </c>
      <c r="D36" s="25">
        <f t="shared" si="2"/>
        <v>196.82930787694326</v>
      </c>
      <c r="E36" s="25">
        <f t="shared" si="3"/>
        <v>48.834878342119573</v>
      </c>
      <c r="F36" s="25">
        <f t="shared" si="4"/>
        <v>21.981097013002064</v>
      </c>
      <c r="G36" s="25">
        <f t="shared" si="5"/>
        <v>8.1347196071777716</v>
      </c>
    </row>
    <row r="37" spans="3:7" x14ac:dyDescent="0.25">
      <c r="C37" s="2">
        <v>48</v>
      </c>
      <c r="D37" s="25">
        <f t="shared" si="2"/>
        <v>201.07123786222127</v>
      </c>
      <c r="E37" s="25">
        <f t="shared" si="3"/>
        <v>49.894765785023104</v>
      </c>
      <c r="F37" s="25">
        <f t="shared" si="4"/>
        <v>22.453862862671553</v>
      </c>
      <c r="G37" s="25">
        <f t="shared" si="5"/>
        <v>8.310387173444429</v>
      </c>
    </row>
    <row r="38" spans="3:7" x14ac:dyDescent="0.25">
      <c r="C38" s="2">
        <v>50</v>
      </c>
      <c r="D38" s="25">
        <f t="shared" si="2"/>
        <v>205.22585035430458</v>
      </c>
      <c r="E38" s="25">
        <f t="shared" si="3"/>
        <v>50.932987565380941</v>
      </c>
      <c r="F38" s="25">
        <f t="shared" si="4"/>
        <v>22.916877819989207</v>
      </c>
      <c r="G38" s="25">
        <f t="shared" si="5"/>
        <v>8.4824459040790625</v>
      </c>
    </row>
    <row r="39" spans="3:7" x14ac:dyDescent="0.25">
      <c r="C39" s="2">
        <v>52</v>
      </c>
      <c r="D39" s="25">
        <f t="shared" si="2"/>
        <v>209.29833179891332</v>
      </c>
      <c r="E39" s="25">
        <f t="shared" si="3"/>
        <v>51.950827655501485</v>
      </c>
      <c r="F39" s="25">
        <f t="shared" si="4"/>
        <v>23.370721438949328</v>
      </c>
      <c r="G39" s="25">
        <f t="shared" si="5"/>
        <v>8.6511100163729946</v>
      </c>
    </row>
    <row r="40" spans="3:7" x14ac:dyDescent="0.25">
      <c r="C40" s="2">
        <v>54</v>
      </c>
      <c r="D40" s="25">
        <f t="shared" si="2"/>
        <v>213.29337455263041</v>
      </c>
      <c r="E40" s="25">
        <f t="shared" si="3"/>
        <v>52.949447872536823</v>
      </c>
      <c r="F40" s="25">
        <f t="shared" si="4"/>
        <v>23.815918041041758</v>
      </c>
      <c r="G40" s="25">
        <f t="shared" si="5"/>
        <v>8.8165733278810059</v>
      </c>
    </row>
    <row r="41" spans="3:7" x14ac:dyDescent="0.25">
      <c r="C41" s="2">
        <v>56</v>
      </c>
      <c r="D41" s="25">
        <f t="shared" si="2"/>
        <v>217.21524037848209</v>
      </c>
      <c r="E41" s="25">
        <f t="shared" si="3"/>
        <v>53.929903562012946</v>
      </c>
      <c r="F41" s="25">
        <f t="shared" si="4"/>
        <v>24.252943815097392</v>
      </c>
      <c r="G41" s="25">
        <f t="shared" si="5"/>
        <v>8.9790118772989871</v>
      </c>
    </row>
    <row r="42" spans="3:7" x14ac:dyDescent="0.25">
      <c r="C42" s="2">
        <v>58</v>
      </c>
      <c r="D42" s="25">
        <f t="shared" si="2"/>
        <v>221.06781381973374</v>
      </c>
      <c r="E42" s="25">
        <f t="shared" si="3"/>
        <v>54.893156783045534</v>
      </c>
      <c r="F42" s="25">
        <f t="shared" si="4"/>
        <v>24.682232785121435</v>
      </c>
      <c r="G42" s="25">
        <f t="shared" si="5"/>
        <v>9.1385861276346159</v>
      </c>
    </row>
    <row r="43" spans="3:7" x14ac:dyDescent="0.25">
      <c r="C43" s="2">
        <v>60</v>
      </c>
      <c r="D43" s="25">
        <f t="shared" si="2"/>
        <v>224.85464735683641</v>
      </c>
      <c r="E43" s="25">
        <f t="shared" si="3"/>
        <v>55.840087465158142</v>
      </c>
      <c r="F43" s="25">
        <f t="shared" si="4"/>
        <v>25.104181859195808</v>
      </c>
      <c r="G43" s="25">
        <f t="shared" si="5"/>
        <v>9.2954428302713055</v>
      </c>
    </row>
    <row r="44" spans="3:7" x14ac:dyDescent="0.25">
      <c r="C44" s="2">
        <v>62</v>
      </c>
      <c r="D44" s="25">
        <f t="shared" si="2"/>
        <v>228.57899984271643</v>
      </c>
      <c r="E44" s="25">
        <f t="shared" si="3"/>
        <v>56.771502905590317</v>
      </c>
      <c r="F44" s="25">
        <f t="shared" si="4"/>
        <v>25.519155126693136</v>
      </c>
      <c r="G44" s="25">
        <f t="shared" si="5"/>
        <v>9.4497166116213194</v>
      </c>
    </row>
    <row r="45" spans="3:7" x14ac:dyDescent="0.25">
      <c r="C45" s="2">
        <v>64</v>
      </c>
      <c r="D45" s="25">
        <f t="shared" si="2"/>
        <v>232.24386940030968</v>
      </c>
      <c r="E45" s="25">
        <f t="shared" si="3"/>
        <v>57.68814589921999</v>
      </c>
      <c r="F45" s="25">
        <f t="shared" si="4"/>
        <v>25.927487536220724</v>
      </c>
      <c r="G45" s="25">
        <f t="shared" si="5"/>
        <v>9.6015313312210324</v>
      </c>
    </row>
    <row r="46" spans="3:7" x14ac:dyDescent="0.25">
      <c r="C46" s="2">
        <v>66</v>
      </c>
      <c r="D46" s="25">
        <f t="shared" si="2"/>
        <v>235.85202172741782</v>
      </c>
      <c r="E46" s="25">
        <f t="shared" si="3"/>
        <v>58.590701734323474</v>
      </c>
      <c r="F46" s="25">
        <f t="shared" si="4"/>
        <v>26.329488059997171</v>
      </c>
      <c r="G46" s="25">
        <f t="shared" si="5"/>
        <v>9.7510012502676826</v>
      </c>
    </row>
    <row r="47" spans="3:7" x14ac:dyDescent="0.25">
      <c r="C47" s="2">
        <v>68</v>
      </c>
      <c r="D47" s="25">
        <f t="shared" si="2"/>
        <v>239.40601456906049</v>
      </c>
      <c r="E47" s="25">
        <f t="shared" si="3"/>
        <v>59.47980424178931</v>
      </c>
      <c r="F47" s="25">
        <f t="shared" si="4"/>
        <v>26.725442429680861</v>
      </c>
      <c r="G47" s="25">
        <f t="shared" si="5"/>
        <v>9.8982320419679208</v>
      </c>
    </row>
    <row r="48" spans="3:7" x14ac:dyDescent="0.25">
      <c r="C48" s="2">
        <v>70</v>
      </c>
      <c r="D48" s="25">
        <f t="shared" si="2"/>
        <v>242.90821897312651</v>
      </c>
      <c r="E48" s="25">
        <f t="shared" si="3"/>
        <v>60.35604104978669</v>
      </c>
      <c r="F48" s="25">
        <f t="shared" si="4"/>
        <v>27.115615512520431</v>
      </c>
      <c r="G48" s="25">
        <f t="shared" si="5"/>
        <v>10.043321669111387</v>
      </c>
    </row>
    <row r="49" spans="3:7" x14ac:dyDescent="0.25">
      <c r="C49" s="2">
        <v>72</v>
      </c>
      <c r="D49" s="25">
        <f t="shared" si="2"/>
        <v>246.36083783149391</v>
      </c>
      <c r="E49" s="25">
        <f t="shared" si="3"/>
        <v>61.219958167855218</v>
      </c>
      <c r="F49" s="25">
        <f t="shared" si="4"/>
        <v>27.500253383987047</v>
      </c>
      <c r="G49" s="25">
        <f t="shared" si="5"/>
        <v>10.186361149593827</v>
      </c>
    </row>
    <row r="50" spans="3:7" x14ac:dyDescent="0.25">
      <c r="C50" s="2">
        <v>74</v>
      </c>
      <c r="D50" s="25">
        <f t="shared" ref="D50:D81" si="6">IF($G$15="","", IF(AND(C50&gt;=$M$4,C50&gt;=$G$15*$K$4,C50&gt;0),(C50-$G$15*$J$4)^$H$4*($I$4+C50*$L$4),"---"))</f>
        <v>249.76592211868518</v>
      </c>
      <c r="E50" s="25">
        <f t="shared" ref="E50:E81" si="7">IF($G$15="","", IF(AND(C50&gt;=$M$7,C50&gt;=$G$15*$K$7,C50&gt;0),(C50-$G$15*$J$7)^$H$7*($I$7+C50*$L$7),"---"))</f>
        <v>62.072064002150334</v>
      </c>
      <c r="F50" s="25">
        <f t="shared" ref="F50:F81" si="8">IF($G$15="","", IF(AND(C50&gt;=$M$8,C50&gt;=$G$15*$K$8,C50&gt;0),(C50-$G$15*$J$8)^$H$8*($I$8+C50*$L$8),"---"))</f>
        <v>27.879585142970541</v>
      </c>
      <c r="G50" s="25">
        <f t="shared" ref="G50:G81" si="9">IF($G$15="","", IF(AND(C50&gt;=$M$9,C50&gt;=$G$15*$K$9,C50&gt;0),(C50-$G$15*$J$9)^$H$9*($I$9+C50*$L$9),"---"))</f>
        <v>10.327435226896155</v>
      </c>
    </row>
    <row r="51" spans="3:7" x14ac:dyDescent="0.25">
      <c r="C51" s="2">
        <v>76</v>
      </c>
      <c r="D51" s="25">
        <f t="shared" si="6"/>
        <v>253.12538516817784</v>
      </c>
      <c r="E51" s="25">
        <f t="shared" si="7"/>
        <v>62.912832885824336</v>
      </c>
      <c r="F51" s="25">
        <f t="shared" si="8"/>
        <v>28.253824507574127</v>
      </c>
      <c r="G51" s="25">
        <f t="shared" si="9"/>
        <v>10.466622959557032</v>
      </c>
    </row>
    <row r="52" spans="3:7" x14ac:dyDescent="0.25">
      <c r="C52" s="2">
        <v>78</v>
      </c>
      <c r="D52" s="25">
        <f t="shared" si="6"/>
        <v>256.44101526866029</v>
      </c>
      <c r="E52" s="25">
        <f t="shared" si="7"/>
        <v>63.742708194251612</v>
      </c>
      <c r="F52" s="25">
        <f t="shared" si="8"/>
        <v>28.623171223074653</v>
      </c>
      <c r="G52" s="25">
        <f t="shared" si="9"/>
        <v>10.60399824129002</v>
      </c>
    </row>
    <row r="53" spans="3:7" x14ac:dyDescent="0.25">
      <c r="C53" s="2">
        <v>80</v>
      </c>
      <c r="D53" s="25">
        <f t="shared" si="6"/>
        <v>259.71448681574708</v>
      </c>
      <c r="E53" s="25">
        <f t="shared" si="7"/>
        <v>64.56210510326089</v>
      </c>
      <c r="F53" s="25">
        <f t="shared" si="8"/>
        <v>28.98781230838404</v>
      </c>
      <c r="G53" s="25">
        <f t="shared" si="9"/>
        <v>10.739630261466141</v>
      </c>
    </row>
    <row r="54" spans="3:7" x14ac:dyDescent="0.25">
      <c r="C54" s="2">
        <v>82</v>
      </c>
      <c r="D54" s="25">
        <f t="shared" si="6"/>
        <v>262.94737021661973</v>
      </c>
      <c r="E54" s="25">
        <f t="shared" si="7"/>
        <v>65.371413039146304</v>
      </c>
      <c r="F54" s="25">
        <f t="shared" si="8"/>
        <v>29.347923163092034</v>
      </c>
      <c r="G54" s="25">
        <f t="shared" si="9"/>
        <v>10.873583914112318</v>
      </c>
    </row>
    <row r="55" spans="3:7" x14ac:dyDescent="0.25">
      <c r="C55" s="2">
        <v>84</v>
      </c>
      <c r="D55" s="25">
        <f t="shared" si="6"/>
        <v>266.14114071392339</v>
      </c>
      <c r="E55" s="25">
        <f t="shared" si="7"/>
        <v>66.170997861541892</v>
      </c>
      <c r="F55" s="25">
        <f t="shared" si="8"/>
        <v>29.703668553688889</v>
      </c>
      <c r="G55" s="25">
        <f t="shared" si="9"/>
        <v>11.005920162291401</v>
      </c>
    </row>
    <row r="56" spans="3:7" x14ac:dyDescent="0.25">
      <c r="C56" s="2">
        <v>86</v>
      </c>
      <c r="D56" s="25">
        <f t="shared" si="6"/>
        <v>269.29718626965723</v>
      </c>
      <c r="E56" s="25">
        <f t="shared" si="7"/>
        <v>66.96120381392673</v>
      </c>
      <c r="F56" s="25">
        <f t="shared" si="8"/>
        <v>30.055203494703857</v>
      </c>
      <c r="G56" s="25">
        <f t="shared" si="9"/>
        <v>11.136696363673057</v>
      </c>
    </row>
    <row r="57" spans="3:7" x14ac:dyDescent="0.25">
      <c r="C57" s="2">
        <v>88</v>
      </c>
      <c r="D57" s="25">
        <f t="shared" si="6"/>
        <v>272.41681462862783</v>
      </c>
      <c r="E57" s="25">
        <f t="shared" si="7"/>
        <v>67.742355271299942</v>
      </c>
      <c r="F57" s="25">
        <f t="shared" si="8"/>
        <v>30.402674038128808</v>
      </c>
      <c r="G57" s="25">
        <f t="shared" si="9"/>
        <v>11.265966562231281</v>
      </c>
    </row>
    <row r="58" spans="3:7" x14ac:dyDescent="0.25">
      <c r="C58" s="2">
        <v>90</v>
      </c>
      <c r="D58" s="25">
        <f t="shared" si="6"/>
        <v>275.50125966347093</v>
      </c>
      <c r="E58" s="25">
        <f t="shared" si="7"/>
        <v>68.514758310229325</v>
      </c>
      <c r="F58" s="25">
        <f t="shared" si="8"/>
        <v>30.746217982531835</v>
      </c>
      <c r="G58" s="25">
        <f t="shared" si="9"/>
        <v>11.393781750279276</v>
      </c>
    </row>
    <row r="59" spans="3:7" x14ac:dyDescent="0.25">
      <c r="C59" s="2">
        <v>92</v>
      </c>
      <c r="D59" s="25">
        <f t="shared" si="6"/>
        <v>278.55168708858753</v>
      </c>
      <c r="E59" s="25">
        <f t="shared" si="7"/>
        <v>69.278702122855591</v>
      </c>
      <c r="F59" s="25">
        <f t="shared" si="8"/>
        <v>31.085965511626242</v>
      </c>
      <c r="G59" s="25">
        <f t="shared" si="9"/>
        <v>11.520190104447423</v>
      </c>
    </row>
    <row r="60" spans="3:7" x14ac:dyDescent="0.25">
      <c r="C60" s="2">
        <v>94</v>
      </c>
      <c r="D60" s="25">
        <f t="shared" si="6"/>
        <v>281.56919961805727</v>
      </c>
      <c r="E60" s="25">
        <f t="shared" si="7"/>
        <v>70.034460293401708</v>
      </c>
      <c r="F60" s="25">
        <f t="shared" si="8"/>
        <v>31.422039770687533</v>
      </c>
      <c r="G60" s="25">
        <f t="shared" si="9"/>
        <v>11.645237198703152</v>
      </c>
    </row>
    <row r="61" spans="3:7" x14ac:dyDescent="0.25">
      <c r="C61" s="2">
        <v>96</v>
      </c>
      <c r="D61" s="25">
        <f t="shared" si="6"/>
        <v>284.55484163226754</v>
      </c>
      <c r="E61" s="25">
        <f t="shared" si="7"/>
        <v>70.782291953186714</v>
      </c>
      <c r="F61" s="25">
        <f t="shared" si="8"/>
        <v>31.754557388055677</v>
      </c>
      <c r="G61" s="25">
        <f t="shared" si="9"/>
        <v>11.76896619708519</v>
      </c>
    </row>
    <row r="62" spans="3:7" x14ac:dyDescent="0.25">
      <c r="C62" s="2">
        <v>98</v>
      </c>
      <c r="D62" s="25">
        <f t="shared" si="6"/>
        <v>287.50960340927031</v>
      </c>
      <c r="E62" s="25">
        <f t="shared" si="7"/>
        <v>71.522442827987064</v>
      </c>
      <c r="F62" s="25">
        <f t="shared" si="8"/>
        <v>32.083628947984892</v>
      </c>
      <c r="G62" s="25">
        <f t="shared" si="9"/>
        <v>11.891418028464702</v>
      </c>
    </row>
    <row r="63" spans="3:7" x14ac:dyDescent="0.25">
      <c r="C63" s="2">
        <v>100</v>
      </c>
      <c r="D63" s="25">
        <f t="shared" si="6"/>
        <v>290.43442496948416</v>
      </c>
      <c r="E63" s="25">
        <f t="shared" si="7"/>
        <v>72.255146189762868</v>
      </c>
      <c r="F63" s="25">
        <f t="shared" si="8"/>
        <v>32.409359420275905</v>
      </c>
      <c r="G63" s="25">
        <f t="shared" si="9"/>
        <v>12.012631545340334</v>
      </c>
    </row>
    <row r="64" spans="3:7" x14ac:dyDescent="0.25">
      <c r="C64" s="2">
        <v>102</v>
      </c>
      <c r="D64" s="25">
        <f t="shared" si="6"/>
        <v>293.33019957606882</v>
      </c>
      <c r="E64" s="25">
        <f t="shared" si="7"/>
        <v>72.980623723211892</v>
      </c>
      <c r="F64" s="25">
        <f t="shared" si="8"/>
        <v>32.7318485514228</v>
      </c>
      <c r="G64" s="25">
        <f t="shared" si="9"/>
        <v>12.132643668414877</v>
      </c>
    </row>
    <row r="65" spans="3:7" x14ac:dyDescent="0.25">
      <c r="C65" s="2">
        <v>104</v>
      </c>
      <c r="D65" s="25">
        <f t="shared" si="6"/>
        <v>296.19777692793298</v>
      </c>
      <c r="E65" s="25">
        <f t="shared" si="7"/>
        <v>73.699086316288003</v>
      </c>
      <c r="F65" s="25">
        <f t="shared" si="8"/>
        <v>33.051191221405794</v>
      </c>
      <c r="G65" s="25">
        <f t="shared" si="9"/>
        <v>12.251489518479254</v>
      </c>
    </row>
    <row r="66" spans="3:7" x14ac:dyDescent="0.25">
      <c r="C66" s="2">
        <v>106</v>
      </c>
      <c r="D66" s="25">
        <f t="shared" si="6"/>
        <v>299.03796607772881</v>
      </c>
      <c r="E66" s="25">
        <f t="shared" si="7"/>
        <v>74.410734782683576</v>
      </c>
      <c r="F66" s="25">
        <f t="shared" si="8"/>
        <v>33.36747776974736</v>
      </c>
      <c r="G66" s="25">
        <f t="shared" si="9"/>
        <v>12.369202536939902</v>
      </c>
    </row>
    <row r="67" spans="3:7" x14ac:dyDescent="0.25">
      <c r="C67" s="2">
        <v>108</v>
      </c>
      <c r="D67" s="25">
        <f t="shared" si="6"/>
        <v>301.85153810324869</v>
      </c>
      <c r="E67" s="25">
        <f t="shared" si="7"/>
        <v>75.115760523300096</v>
      </c>
      <c r="F67" s="25">
        <f t="shared" si="8"/>
        <v>33.680794294007327</v>
      </c>
      <c r="G67" s="25">
        <f t="shared" si="9"/>
        <v>12.485814596162539</v>
      </c>
    </row>
    <row r="68" spans="3:7" x14ac:dyDescent="0.25">
      <c r="C68" s="2">
        <v>110</v>
      </c>
      <c r="D68" s="25">
        <f t="shared" si="6"/>
        <v>304.63922855722217</v>
      </c>
      <c r="E68" s="25">
        <f t="shared" si="7"/>
        <v>75.814346132889739</v>
      </c>
      <c r="F68" s="25">
        <f t="shared" si="8"/>
        <v>33.991222923512019</v>
      </c>
      <c r="G68" s="25">
        <f t="shared" si="9"/>
        <v>12.60135610066463</v>
      </c>
    </row>
    <row r="69" spans="3:7" x14ac:dyDescent="0.25">
      <c r="C69" s="2">
        <v>112</v>
      </c>
      <c r="D69" s="25">
        <f t="shared" si="6"/>
        <v>307.40173971757849</v>
      </c>
      <c r="E69" s="25">
        <f t="shared" si="7"/>
        <v>76.50666595732244</v>
      </c>
      <c r="F69" s="25">
        <f t="shared" si="8"/>
        <v>34.298842070783408</v>
      </c>
      <c r="G69" s="25">
        <f t="shared" si="9"/>
        <v>12.715856080067482</v>
      </c>
    </row>
    <row r="70" spans="3:7" x14ac:dyDescent="0.25">
      <c r="C70" s="2">
        <v>114</v>
      </c>
      <c r="D70" s="25">
        <f t="shared" si="6"/>
        <v>310.13974265768718</v>
      </c>
      <c r="E70" s="25">
        <f t="shared" si="7"/>
        <v>77.192886606304938</v>
      </c>
      <c r="F70" s="25">
        <f t="shared" si="8"/>
        <v>34.603726662849397</v>
      </c>
      <c r="G70" s="25">
        <f t="shared" si="9"/>
        <v>12.829342274613747</v>
      </c>
    </row>
    <row r="71" spans="3:7" x14ac:dyDescent="0.25">
      <c r="C71" s="2">
        <v>116</v>
      </c>
      <c r="D71" s="25">
        <f t="shared" si="6"/>
        <v>312.85387915386758</v>
      </c>
      <c r="E71" s="25">
        <f t="shared" si="7"/>
        <v>77.873167425828015</v>
      </c>
      <c r="F71" s="25">
        <f t="shared" si="8"/>
        <v>34.905948354368583</v>
      </c>
      <c r="G71" s="25">
        <f t="shared" si="9"/>
        <v>12.941841213964306</v>
      </c>
    </row>
    <row r="72" spans="3:7" x14ac:dyDescent="0.25">
      <c r="C72" s="2">
        <v>118</v>
      </c>
      <c r="D72" s="25">
        <f t="shared" si="6"/>
        <v>315.54476344554212</v>
      </c>
      <c r="E72" s="25">
        <f t="shared" si="7"/>
        <v>78.547660934143565</v>
      </c>
      <c r="F72" s="25">
        <f t="shared" si="8"/>
        <v>35.205575724286902</v>
      </c>
      <c r="G72" s="25">
        <f t="shared" si="9"/>
        <v>13.053378289909254</v>
      </c>
    </row>
    <row r="73" spans="3:7" x14ac:dyDescent="0.25">
      <c r="C73" s="2">
        <v>120</v>
      </c>
      <c r="D73" s="25">
        <f t="shared" si="6"/>
        <v>318.2129838617044</v>
      </c>
      <c r="E73" s="25">
        <f t="shared" si="7"/>
        <v>79.216513224654179</v>
      </c>
      <c r="F73" s="25">
        <f t="shared" si="8"/>
        <v>35.502674457555337</v>
      </c>
      <c r="G73" s="25">
        <f t="shared" si="9"/>
        <v>13.163977823557708</v>
      </c>
    </row>
    <row r="74" spans="3:7" x14ac:dyDescent="0.25">
      <c r="C74" s="2">
        <v>122</v>
      </c>
      <c r="D74" s="25">
        <f t="shared" si="6"/>
        <v>320.85910432591419</v>
      </c>
      <c r="E74" s="25">
        <f t="shared" si="7"/>
        <v>79.879864338734777</v>
      </c>
      <c r="F74" s="25">
        <f t="shared" si="8"/>
        <v>35.797307513272621</v>
      </c>
      <c r="G74" s="25">
        <f t="shared" si="9"/>
        <v>13.273663127510495</v>
      </c>
    </row>
    <row r="75" spans="3:7" x14ac:dyDescent="0.25">
      <c r="C75" s="2">
        <v>124</v>
      </c>
      <c r="D75" s="25">
        <f t="shared" si="6"/>
        <v>323.48366575071992</v>
      </c>
      <c r="E75" s="25">
        <f t="shared" si="7"/>
        <v>80.537848611184174</v>
      </c>
      <c r="F75" s="25">
        <f t="shared" si="8"/>
        <v>36.089535280472326</v>
      </c>
      <c r="G75" s="25">
        <f t="shared" si="9"/>
        <v>13.382456563466079</v>
      </c>
    </row>
    <row r="76" spans="3:7" x14ac:dyDescent="0.25">
      <c r="C76" s="2">
        <v>126</v>
      </c>
      <c r="D76" s="25">
        <f t="shared" si="6"/>
        <v>326.08718733128597</v>
      </c>
      <c r="E76" s="25">
        <f t="shared" si="7"/>
        <v>81.190594990723767</v>
      </c>
      <c r="F76" s="25">
        <f t="shared" si="8"/>
        <v>36.379415722646087</v>
      </c>
      <c r="G76" s="25">
        <f t="shared" si="9"/>
        <v>13.490379595663269</v>
      </c>
    </row>
    <row r="77" spans="3:7" x14ac:dyDescent="0.25">
      <c r="C77" s="2">
        <v>128</v>
      </c>
      <c r="D77" s="25">
        <f t="shared" si="6"/>
        <v>328.67016774698476</v>
      </c>
      <c r="E77" s="25">
        <f t="shared" si="7"/>
        <v>81.838227337712112</v>
      </c>
      <c r="F77" s="25">
        <f t="shared" si="8"/>
        <v>36.667004511982732</v>
      </c>
      <c r="G77" s="25">
        <f t="shared" si="9"/>
        <v>13.597452840522621</v>
      </c>
    </row>
    <row r="78" spans="3:7" x14ac:dyDescent="0.25">
      <c r="C78" s="2">
        <v>130</v>
      </c>
      <c r="D78" s="25">
        <f t="shared" si="6"/>
        <v>331.23308627883489</v>
      </c>
      <c r="E78" s="25">
        <f t="shared" si="7"/>
        <v>82.480864701023791</v>
      </c>
      <c r="F78" s="25">
        <f t="shared" si="8"/>
        <v>36.952355154203829</v>
      </c>
      <c r="G78" s="25">
        <f t="shared" si="9"/>
        <v>13.703696112811869</v>
      </c>
    </row>
    <row r="79" spans="3:7" x14ac:dyDescent="0.25">
      <c r="C79" s="2">
        <v>132</v>
      </c>
      <c r="D79" s="25">
        <f t="shared" si="6"/>
        <v>333.77640384987728</v>
      </c>
      <c r="E79" s="25">
        <f t="shared" si="7"/>
        <v>83.118621575849275</v>
      </c>
      <c r="F79" s="25">
        <f t="shared" si="8"/>
        <v>37.235519104788466</v>
      </c>
      <c r="G79" s="25">
        <f t="shared" si="9"/>
        <v>13.809128468628403</v>
      </c>
    </row>
    <row r="80" spans="3:7" x14ac:dyDescent="0.25">
      <c r="C80" s="2">
        <v>134</v>
      </c>
      <c r="D80" s="25">
        <f t="shared" si="6"/>
        <v>336.3005639948891</v>
      </c>
      <c r="E80" s="25">
        <f t="shared" si="7"/>
        <v>83.751608143997117</v>
      </c>
      <c r="F80" s="25">
        <f t="shared" si="8"/>
        <v>37.516545877302185</v>
      </c>
      <c r="G80" s="25">
        <f t="shared" si="9"/>
        <v>13.913768245462954</v>
      </c>
    </row>
    <row r="81" spans="3:7" x14ac:dyDescent="0.25">
      <c r="C81" s="2">
        <v>136</v>
      </c>
      <c r="D81" s="25">
        <f t="shared" si="6"/>
        <v>338.80599376521275</v>
      </c>
      <c r="E81" s="25">
        <f t="shared" si="7"/>
        <v>84.379930498130008</v>
      </c>
      <c r="F81" s="25">
        <f t="shared" si="8"/>
        <v>37.795483144476037</v>
      </c>
      <c r="G81" s="25">
        <f t="shared" si="9"/>
        <v>14.017633099583161</v>
      </c>
    </row>
    <row r="82" spans="3:7" x14ac:dyDescent="0.25">
      <c r="C82" s="2">
        <v>138</v>
      </c>
      <c r="D82" s="25">
        <f t="shared" ref="D82:D113" si="10">IF($G$15="","", IF(AND(C82&gt;=$M$4,C82&gt;=$G$15*$K$4,C82&gt;0),(C82-$G$15*$J$4)^$H$4*($I$4+C82*$L$4),"---"))</f>
        <v>341.29310457392972</v>
      </c>
      <c r="E82" s="25">
        <f t="shared" ref="E82:E113" si="11">IF($G$15="","", IF(AND(C82&gt;=$M$7,C82&gt;=$G$15*$K$7,C82&gt;0),(C82-$G$15*$J$7)^$H$7*($I$7+C82*$L$7),"---"))</f>
        <v>85.003690851227816</v>
      </c>
      <c r="F82" s="25">
        <f t="shared" ref="F82:F113" si="12">IF($G$15="","", IF(AND(C82&gt;=$M$8,C82&gt;=$G$15*$K$8,C82&gt;0),(C82-$G$15*$J$8)^$H$8*($I$8+C82*$L$8),"---"))</f>
        <v>38.072376832620058</v>
      </c>
      <c r="G82" s="25">
        <f t="shared" ref="G82:G113" si="13">IF($G$15="","", IF(AND(C82&gt;=$M$9,C82&gt;=$G$15*$K$9,C82&gt;0),(C82-$G$15*$J$9)^$H$9*($I$9+C82*$L$9),"---"))</f>
        <v>14.12074004095294</v>
      </c>
    </row>
    <row r="83" spans="3:7" x14ac:dyDescent="0.25">
      <c r="C83" s="2">
        <v>140</v>
      </c>
      <c r="D83" s="25">
        <f t="shared" si="10"/>
        <v>343.76229298611719</v>
      </c>
      <c r="E83" s="25">
        <f t="shared" si="11"/>
        <v>85.622987732450454</v>
      </c>
      <c r="F83" s="25">
        <f t="shared" si="12"/>
        <v>38.347271209900676</v>
      </c>
      <c r="G83" s="25">
        <f t="shared" si="13"/>
        <v>14.223105465883439</v>
      </c>
    </row>
    <row r="84" spans="3:7" x14ac:dyDescent="0.25">
      <c r="C84" s="2">
        <v>142</v>
      </c>
      <c r="D84" s="25">
        <f t="shared" si="10"/>
        <v>346.21394145848694</v>
      </c>
      <c r="E84" s="25">
        <f t="shared" si="11"/>
        <v>86.237916170465013</v>
      </c>
      <c r="F84" s="25">
        <f t="shared" si="12"/>
        <v>38.620208968962473</v>
      </c>
      <c r="G84" s="25">
        <f t="shared" si="13"/>
        <v>14.324745187593011</v>
      </c>
    </row>
    <row r="85" spans="3:7" x14ac:dyDescent="0.25">
      <c r="C85" s="2">
        <v>144</v>
      </c>
      <c r="D85" s="25">
        <f t="shared" si="10"/>
        <v>348.64841903231257</v>
      </c>
      <c r="E85" s="25">
        <f t="shared" si="11"/>
        <v>86.848567865203364</v>
      </c>
      <c r="F85" s="25">
        <f t="shared" si="12"/>
        <v>38.891231304331086</v>
      </c>
      <c r="G85" s="25">
        <f t="shared" si="13"/>
        <v>14.425674464837639</v>
      </c>
    </row>
    <row r="86" spans="3:7" x14ac:dyDescent="0.25">
      <c r="C86" s="2">
        <v>146</v>
      </c>
      <c r="D86" s="25">
        <f t="shared" si="10"/>
        <v>351.0660819832039</v>
      </c>
      <c r="E86" s="25">
        <f t="shared" si="11"/>
        <v>87.455031348931499</v>
      </c>
      <c r="F86" s="25">
        <f t="shared" si="12"/>
        <v>39.160377984994412</v>
      </c>
      <c r="G86" s="25">
        <f t="shared" si="13"/>
        <v>14.525908028758726</v>
      </c>
    </row>
    <row r="87" spans="3:7" x14ac:dyDescent="0.25">
      <c r="C87" s="2">
        <v>148</v>
      </c>
      <c r="D87" s="25">
        <f t="shared" si="10"/>
        <v>353.46727443096563</v>
      </c>
      <c r="E87" s="25">
        <f t="shared" si="11"/>
        <v>88.057392137431805</v>
      </c>
      <c r="F87" s="25">
        <f t="shared" si="12"/>
        <v>39.427687422524379</v>
      </c>
      <c r="G87" s="25">
        <f t="shared" si="13"/>
        <v>14.62546010808197</v>
      </c>
    </row>
    <row r="88" spans="3:7" x14ac:dyDescent="0.25">
      <c r="C88" s="2">
        <v>150</v>
      </c>
      <c r="D88" s="25">
        <f t="shared" si="10"/>
        <v>355.85232891249785</v>
      </c>
      <c r="E88" s="25">
        <f t="shared" si="11"/>
        <v>88.655732872030683</v>
      </c>
      <c r="F88" s="25">
        <f t="shared" si="12"/>
        <v>39.693196735069598</v>
      </c>
      <c r="G88" s="25">
        <f t="shared" si="13"/>
        <v>14.724344452789552</v>
      </c>
    </row>
    <row r="89" spans="3:7" x14ac:dyDescent="0.25">
      <c r="C89" s="2">
        <v>152</v>
      </c>
      <c r="D89" s="25">
        <f t="shared" si="10"/>
        <v>358.22156692044092</v>
      </c>
      <c r="E89" s="25">
        <f t="shared" si="11"/>
        <v>89.250133453139782</v>
      </c>
      <c r="F89" s="25">
        <f t="shared" si="12"/>
        <v>39.956941807520657</v>
      </c>
      <c r="G89" s="25">
        <f t="shared" si="13"/>
        <v>14.82257435637708</v>
      </c>
    </row>
    <row r="90" spans="3:7" x14ac:dyDescent="0.25">
      <c r="C90" s="2">
        <v>154</v>
      </c>
      <c r="D90" s="25">
        <f t="shared" si="10"/>
        <v>360.5752994100331</v>
      </c>
      <c r="E90" s="25">
        <f t="shared" si="11"/>
        <v>89.840671165922885</v>
      </c>
      <c r="F90" s="25">
        <f t="shared" si="12"/>
        <v>40.218957348124341</v>
      </c>
      <c r="G90" s="25">
        <f t="shared" si="13"/>
        <v>14.920162676797471</v>
      </c>
    </row>
    <row r="91" spans="3:7" x14ac:dyDescent="0.25">
      <c r="C91" s="2">
        <v>156</v>
      </c>
      <c r="D91" s="25">
        <f t="shared" si="10"/>
        <v>362.91382727644685</v>
      </c>
      <c r="E91" s="25">
        <f t="shared" si="11"/>
        <v>90.427420798648726</v>
      </c>
      <c r="F91" s="25">
        <f t="shared" si="12"/>
        <v>40.479276941799462</v>
      </c>
      <c r="G91" s="25">
        <f t="shared" si="13"/>
        <v>15.017121856185147</v>
      </c>
    </row>
    <row r="92" spans="3:7" x14ac:dyDescent="0.25">
      <c r="C92" s="2">
        <v>158</v>
      </c>
      <c r="D92" s="25">
        <f t="shared" si="10"/>
        <v>365.23744180467583</v>
      </c>
      <c r="E92" s="25">
        <f t="shared" si="11"/>
        <v>91.010454754243256</v>
      </c>
      <c r="F92" s="25">
        <f t="shared" si="12"/>
        <v>40.737933100386307</v>
      </c>
      <c r="G92" s="25">
        <f t="shared" si="13"/>
        <v>15.113463939446321</v>
      </c>
    </row>
    <row r="93" spans="3:7" x14ac:dyDescent="0.25">
      <c r="C93" s="2">
        <v>160</v>
      </c>
      <c r="D93" s="25">
        <f t="shared" si="10"/>
        <v>367.54642509387963</v>
      </c>
      <c r="E93" s="25">
        <f t="shared" si="11"/>
        <v>91.589843155513321</v>
      </c>
      <c r="F93" s="25">
        <f t="shared" si="12"/>
        <v>40.994957310042444</v>
      </c>
      <c r="G93" s="25">
        <f t="shared" si="13"/>
        <v>15.209200591793991</v>
      </c>
    </row>
    <row r="94" spans="3:7" x14ac:dyDescent="0.25">
      <c r="C94" s="2">
        <v>162</v>
      </c>
      <c r="D94" s="25">
        <f t="shared" si="10"/>
        <v>369.84105045793615</v>
      </c>
      <c r="E94" s="25">
        <f t="shared" si="11"/>
        <v>92.16565394447484</v>
      </c>
      <c r="F94" s="25">
        <f t="shared" si="12"/>
        <v>41.250380075980573</v>
      </c>
      <c r="G94" s="25">
        <f t="shared" si="13"/>
        <v>15.304343115299989</v>
      </c>
    </row>
    <row r="95" spans="3:7" x14ac:dyDescent="0.25">
      <c r="C95" s="2">
        <v>164</v>
      </c>
      <c r="D95" s="25">
        <f t="shared" si="10"/>
        <v>372.12158280381152</v>
      </c>
      <c r="E95" s="25">
        <f t="shared" si="11"/>
        <v>92.737952976184474</v>
      </c>
      <c r="F95" s="25">
        <f t="shared" si="12"/>
        <v>41.504230964728251</v>
      </c>
      <c r="G95" s="25">
        <f t="shared" si="13"/>
        <v>15.398902464530623</v>
      </c>
    </row>
    <row r="96" spans="3:7" x14ac:dyDescent="0.25">
      <c r="C96" s="2">
        <v>166</v>
      </c>
      <c r="D96" s="25">
        <f t="shared" si="10"/>
        <v>374.38827898923097</v>
      </c>
      <c r="E96" s="25">
        <f t="shared" si="11"/>
        <v>93.306804107442403</v>
      </c>
      <c r="F96" s="25">
        <f t="shared" si="12"/>
        <v>41.756538644075377</v>
      </c>
      <c r="G96" s="25">
        <f t="shared" si="13"/>
        <v>15.492889261327097</v>
      </c>
    </row>
    <row r="97" spans="3:7" x14ac:dyDescent="0.25">
      <c r="C97" s="2">
        <v>168</v>
      </c>
      <c r="D97" s="25">
        <f t="shared" si="10"/>
        <v>376.64138816101917</v>
      </c>
      <c r="E97" s="25">
        <f t="shared" si="11"/>
        <v>93.87226928070416</v>
      </c>
      <c r="F97" s="25">
        <f t="shared" si="12"/>
        <v>42.007330920862046</v>
      </c>
      <c r="G97" s="25">
        <f t="shared" si="13"/>
        <v>15.586313808787304</v>
      </c>
    </row>
    <row r="98" spans="3:7" x14ac:dyDescent="0.25">
      <c r="C98" s="2">
        <v>170</v>
      </c>
      <c r="D98" s="25">
        <f t="shared" si="10"/>
        <v>378.88115207537152</v>
      </c>
      <c r="E98" s="25">
        <f t="shared" si="11"/>
        <v>94.434408603514868</v>
      </c>
      <c r="F98" s="25">
        <f t="shared" si="12"/>
        <v>42.256634776747966</v>
      </c>
      <c r="G98" s="25">
        <f t="shared" si="13"/>
        <v>15.679186104501097</v>
      </c>
    </row>
    <row r="99" spans="3:7" x14ac:dyDescent="0.25">
      <c r="C99" s="2">
        <v>172</v>
      </c>
      <c r="D99" s="25">
        <f t="shared" si="10"/>
        <v>381.10780540121857</v>
      </c>
      <c r="E99" s="25">
        <f t="shared" si="11"/>
        <v>94.993280423753504</v>
      </c>
      <c r="F99" s="25">
        <f t="shared" si="12"/>
        <v>42.504476402093431</v>
      </c>
      <c r="G99" s="25">
        <f t="shared" si="13"/>
        <v>15.771515853087012</v>
      </c>
    </row>
    <row r="100" spans="3:7" x14ac:dyDescent="0.25">
      <c r="C100" s="2">
        <v>174</v>
      </c>
      <c r="D100" s="25">
        <f t="shared" si="10"/>
        <v>383.32157600776975</v>
      </c>
      <c r="E100" s="25">
        <f t="shared" si="11"/>
        <v>95.548941400955655</v>
      </c>
      <c r="F100" s="25">
        <f t="shared" si="12"/>
        <v>42.7508812280726</v>
      </c>
      <c r="G100" s="25">
        <f t="shared" si="13"/>
        <v>15.863312478075326</v>
      </c>
    </row>
    <row r="101" spans="3:7" x14ac:dyDescent="0.25">
      <c r="C101" s="2">
        <v>176</v>
      </c>
      <c r="D101" s="25">
        <f t="shared" si="10"/>
        <v>385.52268523722302</v>
      </c>
      <c r="E101" s="25">
        <f t="shared" si="11"/>
        <v>96.101446573960047</v>
      </c>
      <c r="F101" s="25">
        <f t="shared" si="12"/>
        <v>42.995873957130151</v>
      </c>
      <c r="G101" s="25">
        <f t="shared" si="13"/>
        <v>15.954585133178279</v>
      </c>
    </row>
    <row r="102" spans="3:7" x14ac:dyDescent="0.25">
      <c r="C102" s="2">
        <v>178</v>
      </c>
      <c r="D102" s="25">
        <f t="shared" si="10"/>
        <v>387.71134816357539</v>
      </c>
      <c r="E102" s="25">
        <f t="shared" si="11"/>
        <v>96.650849425109783</v>
      </c>
      <c r="F102" s="25">
        <f t="shared" si="12"/>
        <v>43.239478591884932</v>
      </c>
      <c r="G102" s="25">
        <f t="shared" si="13"/>
        <v>16.045342712985885</v>
      </c>
    </row>
    <row r="103" spans="3:7" x14ac:dyDescent="0.25">
      <c r="C103" s="2">
        <v>180</v>
      </c>
      <c r="D103" s="25">
        <f t="shared" si="10"/>
        <v>389.88777383838175</v>
      </c>
      <c r="E103" s="25">
        <f t="shared" si="11"/>
        <v>97.197201941218268</v>
      </c>
      <c r="F103" s="25">
        <f t="shared" si="12"/>
        <v>43.481718462576062</v>
      </c>
      <c r="G103" s="25">
        <f t="shared" si="13"/>
        <v>16.135593863122622</v>
      </c>
    </row>
    <row r="104" spans="3:7" x14ac:dyDescent="0.25">
      <c r="C104" s="2">
        <v>182</v>
      </c>
      <c r="D104" s="25">
        <f t="shared" si="10"/>
        <v>392.05216552426435</v>
      </c>
      <c r="E104" s="25">
        <f t="shared" si="11"/>
        <v>97.740554671498998</v>
      </c>
      <c r="F104" s="25">
        <f t="shared" si="12"/>
        <v>43.722616253140437</v>
      </c>
      <c r="G104" s="25">
        <f t="shared" si="13"/>
        <v>16.22534698989789</v>
      </c>
    </row>
    <row r="105" spans="3:7" x14ac:dyDescent="0.25">
      <c r="C105" s="2">
        <v>184</v>
      </c>
      <c r="D105" s="25">
        <f t="shared" si="10"/>
        <v>394.20472091690704</v>
      </c>
      <c r="E105" s="25">
        <f t="shared" si="11"/>
        <v>98.280956782640388</v>
      </c>
      <c r="F105" s="25">
        <f t="shared" si="12"/>
        <v>43.962194026004127</v>
      </c>
      <c r="G105" s="25">
        <f t="shared" si="13"/>
        <v>16.314610269480685</v>
      </c>
    </row>
    <row r="106" spans="3:7" x14ac:dyDescent="0.25">
      <c r="C106" s="2">
        <v>186</v>
      </c>
      <c r="D106" s="25">
        <f t="shared" si="10"/>
        <v>396.34563235622159</v>
      </c>
      <c r="E106" s="25">
        <f t="shared" si="11"/>
        <v>98.818456111196838</v>
      </c>
      <c r="F106" s="25">
        <f t="shared" si="12"/>
        <v>44.200473245664298</v>
      </c>
      <c r="G106" s="25">
        <f t="shared" si="13"/>
        <v>16.403391656626919</v>
      </c>
    </row>
    <row r="107" spans="3:7" x14ac:dyDescent="0.25">
      <c r="C107" s="2">
        <v>188</v>
      </c>
      <c r="D107" s="25">
        <f t="shared" si="10"/>
        <v>398.47508702732512</v>
      </c>
      <c r="E107" s="25">
        <f t="shared" si="11"/>
        <v>99.353099213453447</v>
      </c>
      <c r="F107" s="25">
        <f t="shared" si="12"/>
        <v>44.437474801133085</v>
      </c>
      <c r="G107" s="25">
        <f t="shared" si="13"/>
        <v>16.491698892985738</v>
      </c>
    </row>
    <row r="108" spans="3:7" x14ac:dyDescent="0.25">
      <c r="C108" s="2">
        <v>190</v>
      </c>
      <c r="D108" s="25">
        <f t="shared" si="10"/>
        <v>400.59326715192532</v>
      </c>
      <c r="E108" s="25">
        <f t="shared" si="11"/>
        <v>99.884931412912437</v>
      </c>
      <c r="F108" s="25">
        <f t="shared" si="12"/>
        <v>44.673219027309756</v>
      </c>
      <c r="G108" s="25">
        <f t="shared" si="13"/>
        <v>16.579539515009337</v>
      </c>
    </row>
    <row r="109" spans="3:7" x14ac:dyDescent="0.25">
      <c r="C109" s="2">
        <v>192</v>
      </c>
      <c r="D109" s="25">
        <f t="shared" si="10"/>
        <v>402.70035017066141</v>
      </c>
      <c r="E109" s="25">
        <f t="shared" si="11"/>
        <v>100.41399684553788</v>
      </c>
      <c r="F109" s="25">
        <f t="shared" si="12"/>
        <v>44.907725725343106</v>
      </c>
      <c r="G109" s="25">
        <f t="shared" si="13"/>
        <v>16.66692086148927</v>
      </c>
    </row>
    <row r="110" spans="3:7" x14ac:dyDescent="0.25">
      <c r="C110" s="2">
        <v>194</v>
      </c>
      <c r="D110" s="25">
        <f t="shared" si="10"/>
        <v>404.79650891692398</v>
      </c>
      <c r="E110" s="25">
        <f t="shared" si="11"/>
        <v>100.94033850288702</v>
      </c>
      <c r="F110" s="25">
        <f t="shared" si="12"/>
        <v>45.141014182041765</v>
      </c>
      <c r="G110" s="25">
        <f t="shared" si="13"/>
        <v>16.753850080740538</v>
      </c>
    </row>
    <row r="111" spans="3:7" x14ac:dyDescent="0.25">
      <c r="C111" s="2">
        <v>196</v>
      </c>
      <c r="D111" s="25">
        <f t="shared" si="10"/>
        <v>406.88191178263213</v>
      </c>
      <c r="E111" s="25">
        <f t="shared" si="11"/>
        <v>101.46399827324773</v>
      </c>
      <c r="F111" s="25">
        <f t="shared" si="12"/>
        <v>45.373103188386267</v>
      </c>
      <c r="G111" s="25">
        <f t="shared" si="13"/>
        <v>16.840334137453311</v>
      </c>
    </row>
    <row r="112" spans="3:7" x14ac:dyDescent="0.25">
      <c r="C112" s="2">
        <v>198</v>
      </c>
      <c r="D112" s="25">
        <f t="shared" si="10"/>
        <v>408.95672287641867</v>
      </c>
      <c r="E112" s="25">
        <f t="shared" si="11"/>
        <v>101.98501698089341</v>
      </c>
      <c r="F112" s="25">
        <f t="shared" si="12"/>
        <v>45.604011057193212</v>
      </c>
      <c r="G112" s="25">
        <f t="shared" si="13"/>
        <v>16.926379819231062</v>
      </c>
    </row>
    <row r="113" spans="3:7" x14ac:dyDescent="0.25">
      <c r="C113" s="2">
        <v>200</v>
      </c>
      <c r="D113" s="25">
        <f t="shared" si="10"/>
        <v>411.02110217464406</v>
      </c>
      <c r="E113" s="25">
        <f t="shared" si="11"/>
        <v>102.50343442355958</v>
      </c>
      <c r="F113" s="25">
        <f t="shared" si="12"/>
        <v>45.833755639978413</v>
      </c>
      <c r="G113" s="25">
        <f t="shared" si="13"/>
        <v>17.011993742832189</v>
      </c>
    </row>
    <row r="114" spans="3:7" x14ac:dyDescent="0.25">
      <c r="C114" s="2">
        <v>202</v>
      </c>
      <c r="D114" s="25">
        <f t="shared" ref="D114:D145" si="14">IF($G$15="","", IF(AND(C114&gt;=$M$4,C114&gt;=$G$15*$K$4,C114&gt;0),(C114-$G$15*$J$4)^$H$4*($I$4+C114*$L$4),"---"))</f>
        <v>413.07520566563403</v>
      </c>
      <c r="E114" s="25">
        <f t="shared" ref="E114:E145" si="15">IF($G$15="","", IF(AND(C114&gt;=$M$7,C114&gt;=$G$15*$K$7,C114&gt;0),(C114-$G$15*$J$7)^$H$7*($I$7+C114*$L$7),"---"))</f>
        <v>103.0192894082401</v>
      </c>
      <c r="F114" s="25">
        <f t="shared" ref="F114:F145" si="16">IF($G$15="","", IF(AND(C114&gt;=$M$8,C114&gt;=$G$15*$K$8,C114&gt;0),(C114-$G$15*$J$8)^$H$8*($I$8+C114*$L$8),"---"))</f>
        <v>46.062354343063113</v>
      </c>
      <c r="G114" s="25">
        <f t="shared" ref="G114:G145" si="17">IF($G$15="","", IF(AND(C114&gt;=$M$9,C114&gt;=$G$15*$K$9,C114&gt;0),(C114-$G$15*$J$9)^$H$9*($I$9+C114*$L$9),"---"))</f>
        <v>17.097182360131793</v>
      </c>
    </row>
    <row r="115" spans="3:7" x14ac:dyDescent="0.25">
      <c r="C115" s="2">
        <v>204</v>
      </c>
      <c r="D115" s="25">
        <f t="shared" si="14"/>
        <v>415.11918548750515</v>
      </c>
      <c r="E115" s="25">
        <f t="shared" si="15"/>
        <v>103.53261978539331</v>
      </c>
      <c r="F115" s="25">
        <f t="shared" si="16"/>
        <v>46.289824142964278</v>
      </c>
      <c r="G115" s="25">
        <f t="shared" si="17"/>
        <v>17.181951963818342</v>
      </c>
    </row>
    <row r="116" spans="3:7" x14ac:dyDescent="0.25">
      <c r="C116" s="2">
        <v>206</v>
      </c>
      <c r="D116" s="25">
        <f t="shared" si="14"/>
        <v>417.15319005992836</v>
      </c>
      <c r="E116" s="25">
        <f t="shared" si="15"/>
        <v>104.04346248164507</v>
      </c>
      <c r="F116" s="25">
        <f t="shared" si="16"/>
        <v>46.516181601107483</v>
      </c>
      <c r="G116" s="25">
        <f t="shared" si="17"/>
        <v>17.266308692839974</v>
      </c>
    </row>
    <row r="117" spans="3:7" x14ac:dyDescent="0.25">
      <c r="C117" s="2">
        <v>208</v>
      </c>
      <c r="D117" s="25">
        <f t="shared" si="14"/>
        <v>419.17736421014826</v>
      </c>
      <c r="E117" s="25">
        <f t="shared" si="15"/>
        <v>104.55185353106654</v>
      </c>
      <c r="F117" s="25">
        <f t="shared" si="16"/>
        <v>46.741442877898656</v>
      </c>
      <c r="G117" s="25">
        <f t="shared" si="17"/>
        <v>17.35025853761325</v>
      </c>
    </row>
    <row r="118" spans="3:7" x14ac:dyDescent="0.25">
      <c r="C118" s="2">
        <v>210</v>
      </c>
      <c r="D118" s="25">
        <f t="shared" si="14"/>
        <v>421.1918492935655</v>
      </c>
      <c r="E118" s="25">
        <f t="shared" si="15"/>
        <v>105.05782810510433</v>
      </c>
      <c r="F118" s="25">
        <f t="shared" si="16"/>
        <v>46.965623746188186</v>
      </c>
      <c r="G118" s="25">
        <f t="shared" si="17"/>
        <v>17.433807345007381</v>
      </c>
    </row>
    <row r="119" spans="3:7" x14ac:dyDescent="0.25">
      <c r="C119" s="2">
        <v>212</v>
      </c>
      <c r="D119" s="25">
        <f t="shared" si="14"/>
        <v>423.19678330916247</v>
      </c>
      <c r="E119" s="25">
        <f t="shared" si="15"/>
        <v>105.56142054123114</v>
      </c>
      <c r="F119" s="25">
        <f t="shared" si="16"/>
        <v>47.188739604159466</v>
      </c>
      <c r="G119" s="25">
        <f t="shared" si="17"/>
        <v>17.516960823115316</v>
      </c>
    </row>
    <row r="120" spans="3:7" x14ac:dyDescent="0.25">
      <c r="C120" s="2">
        <v>214</v>
      </c>
      <c r="D120" s="25">
        <f t="shared" si="14"/>
        <v>425.19230101004399</v>
      </c>
      <c r="E120" s="25">
        <f t="shared" si="15"/>
        <v>106.06266437038468</v>
      </c>
      <c r="F120" s="25">
        <f t="shared" si="16"/>
        <v>47.410805487671489</v>
      </c>
      <c r="G120" s="25">
        <f t="shared" si="17"/>
        <v>17.599724545822824</v>
      </c>
    </row>
    <row r="121" spans="3:7" x14ac:dyDescent="0.25">
      <c r="C121" s="2">
        <v>216</v>
      </c>
      <c r="D121" s="25">
        <f t="shared" si="14"/>
        <v>427.17853400933677</v>
      </c>
      <c r="E121" s="25">
        <f t="shared" si="15"/>
        <v>106.56159234325632</v>
      </c>
      <c r="F121" s="25">
        <f t="shared" si="16"/>
        <v>47.631836082083517</v>
      </c>
      <c r="G121" s="25">
        <f t="shared" si="17"/>
        <v>17.68210395718604</v>
      </c>
    </row>
    <row r="122" spans="3:7" x14ac:dyDescent="0.25">
      <c r="C122" s="2">
        <v>218</v>
      </c>
      <c r="D122" s="25">
        <f t="shared" si="14"/>
        <v>429.15561088169056</v>
      </c>
      <c r="E122" s="25">
        <f t="shared" si="15"/>
        <v>107.05823645548742</v>
      </c>
      <c r="F122" s="25">
        <f t="shared" si="16"/>
        <v>47.851845733588227</v>
      </c>
      <c r="G122" s="25">
        <f t="shared" si="17"/>
        <v>17.764104375626932</v>
      </c>
    </row>
    <row r="123" spans="3:7" x14ac:dyDescent="0.25">
      <c r="C123" s="2">
        <v>220</v>
      </c>
      <c r="D123" s="25">
        <f t="shared" si="14"/>
        <v>431.12365726059824</v>
      </c>
      <c r="E123" s="25">
        <f t="shared" si="15"/>
        <v>107.55262797182944</v>
      </c>
      <c r="F123" s="25">
        <f t="shared" si="16"/>
        <v>48.070848460077947</v>
      </c>
      <c r="G123" s="25">
        <f t="shared" si="17"/>
        <v>17.845730997956249</v>
      </c>
    </row>
    <row r="124" spans="3:7" x14ac:dyDescent="0.25">
      <c r="C124" s="2">
        <v>222</v>
      </c>
      <c r="D124" s="25">
        <f t="shared" si="14"/>
        <v>433.08279593174296</v>
      </c>
      <c r="E124" s="25">
        <f t="shared" si="15"/>
        <v>108.04479744931831</v>
      </c>
      <c r="F124" s="25">
        <f t="shared" si="16"/>
        <v>48.288857961567395</v>
      </c>
      <c r="G124" s="25">
        <f t="shared" si="17"/>
        <v>17.926988903232083</v>
      </c>
    </row>
    <row r="125" spans="3:7" x14ac:dyDescent="0.25">
      <c r="C125" s="2">
        <v>224</v>
      </c>
      <c r="D125" s="25">
        <f t="shared" si="14"/>
        <v>435.03314692257197</v>
      </c>
      <c r="E125" s="25">
        <f t="shared" si="15"/>
        <v>108.5347747595128</v>
      </c>
      <c r="F125" s="25">
        <f t="shared" si="16"/>
        <v>48.505887630194785</v>
      </c>
      <c r="G125" s="25">
        <f t="shared" si="17"/>
        <v>18.007883056462635</v>
      </c>
    </row>
    <row r="126" spans="3:7" x14ac:dyDescent="0.25">
      <c r="C126" s="2">
        <v>226</v>
      </c>
      <c r="D126" s="25">
        <f t="shared" si="14"/>
        <v>436.9748275882792</v>
      </c>
      <c r="E126" s="25">
        <f t="shared" si="15"/>
        <v>109.02258910984155</v>
      </c>
      <c r="F126" s="25">
        <f t="shared" si="16"/>
        <v>48.721950559821963</v>
      </c>
      <c r="G126" s="25">
        <f t="shared" si="17"/>
        <v>18.088418312160446</v>
      </c>
    </row>
    <row r="127" spans="3:7" x14ac:dyDescent="0.25">
      <c r="C127" s="2">
        <v>228</v>
      </c>
      <c r="D127" s="25">
        <f t="shared" si="14"/>
        <v>438.90795269437081</v>
      </c>
      <c r="E127" s="25">
        <f t="shared" si="15"/>
        <v>109.50826906410306</v>
      </c>
      <c r="F127" s="25">
        <f t="shared" si="16"/>
        <v>48.9370595552531</v>
      </c>
      <c r="G127" s="25">
        <f t="shared" si="17"/>
        <v>18.168599417755498</v>
      </c>
    </row>
    <row r="128" spans="3:7" x14ac:dyDescent="0.25">
      <c r="C128" s="2">
        <v>230</v>
      </c>
      <c r="D128" s="25">
        <f t="shared" si="14"/>
        <v>440.83263449598223</v>
      </c>
      <c r="E128" s="25">
        <f t="shared" si="15"/>
        <v>109.99184256215916</v>
      </c>
      <c r="F128" s="25">
        <f t="shared" si="16"/>
        <v>49.151227141090189</v>
      </c>
      <c r="G128" s="25">
        <f t="shared" si="17"/>
        <v>18.248431016873962</v>
      </c>
    </row>
    <row r="129" spans="3:7" x14ac:dyDescent="0.25">
      <c r="C129" s="2">
        <v>232</v>
      </c>
      <c r="D129" s="25">
        <f t="shared" si="14"/>
        <v>442.74898281409492</v>
      </c>
      <c r="E129" s="25">
        <f t="shared" si="15"/>
        <v>110.47333693885976</v>
      </c>
      <c r="F129" s="25">
        <f t="shared" si="16"/>
        <v>49.364465570242871</v>
      </c>
      <c r="G129" s="25">
        <f t="shared" si="17"/>
        <v>18.327917652488939</v>
      </c>
    </row>
    <row r="130" spans="3:7" x14ac:dyDescent="0.25">
      <c r="C130" s="2">
        <v>234</v>
      </c>
      <c r="D130" s="25">
        <f t="shared" si="14"/>
        <v>444.65710510880649</v>
      </c>
      <c r="E130" s="25">
        <f t="shared" si="15"/>
        <v>110.95277894223615</v>
      </c>
      <c r="F130" s="25">
        <f t="shared" si="16"/>
        <v>49.576786832108695</v>
      </c>
      <c r="G130" s="25">
        <f t="shared" si="17"/>
        <v>18.407063769949339</v>
      </c>
    </row>
    <row r="131" spans="3:7" x14ac:dyDescent="0.25">
      <c r="C131" s="2">
        <v>236</v>
      </c>
      <c r="D131" s="25">
        <f t="shared" si="14"/>
        <v>446.55710654978725</v>
      </c>
      <c r="E131" s="25">
        <f t="shared" si="15"/>
        <v>111.43019475099626</v>
      </c>
      <c r="F131" s="25">
        <f t="shared" si="16"/>
        <v>49.788202660439538</v>
      </c>
      <c r="G131" s="25">
        <f t="shared" si="17"/>
        <v>18.485873719892446</v>
      </c>
    </row>
    <row r="132" spans="3:7" x14ac:dyDescent="0.25">
      <c r="C132" s="2">
        <v>238</v>
      </c>
      <c r="D132" s="25">
        <f t="shared" si="14"/>
        <v>448.44909008405727</v>
      </c>
      <c r="E132" s="25">
        <f t="shared" si="15"/>
        <v>111.90560999135533</v>
      </c>
      <c r="F132" s="25">
        <f t="shared" si="16"/>
        <v>49.998724540908555</v>
      </c>
      <c r="G132" s="25">
        <f t="shared" si="17"/>
        <v>18.564351761045806</v>
      </c>
    </row>
    <row r="133" spans="3:7" x14ac:dyDescent="0.25">
      <c r="C133" s="2">
        <v>240</v>
      </c>
      <c r="D133" s="25">
        <f t="shared" si="14"/>
        <v>450.33315650120471</v>
      </c>
      <c r="E133" s="25">
        <f t="shared" si="15"/>
        <v>112.37904975323158</v>
      </c>
      <c r="F133" s="25">
        <f t="shared" si="16"/>
        <v>50.208363718391617</v>
      </c>
      <c r="G133" s="25">
        <f t="shared" si="17"/>
        <v>18.64250206292337</v>
      </c>
    </row>
    <row r="134" spans="3:7" x14ac:dyDescent="0.25">
      <c r="C134" s="2">
        <v>242</v>
      </c>
      <c r="D134" s="25">
        <f t="shared" si="14"/>
        <v>452.20940449616631</v>
      </c>
      <c r="E134" s="25">
        <f t="shared" si="15"/>
        <v>112.85053860583648</v>
      </c>
      <c r="F134" s="25">
        <f t="shared" si="16"/>
        <v>50.417131203976254</v>
      </c>
      <c r="G134" s="25">
        <f t="shared" si="17"/>
        <v>18.720328708420791</v>
      </c>
    </row>
    <row r="135" spans="3:7" x14ac:dyDescent="0.25">
      <c r="C135" s="2">
        <v>244</v>
      </c>
      <c r="D135" s="25">
        <f t="shared" si="14"/>
        <v>454.07793072967513</v>
      </c>
      <c r="E135" s="25">
        <f t="shared" si="15"/>
        <v>113.32010061268704</v>
      </c>
      <c r="F135" s="25">
        <f t="shared" si="16"/>
        <v>50.625037781710432</v>
      </c>
      <c r="G135" s="25">
        <f t="shared" si="17"/>
        <v>18.797835696314404</v>
      </c>
    </row>
    <row r="136" spans="3:7" x14ac:dyDescent="0.25">
      <c r="C136" s="2">
        <v>246</v>
      </c>
      <c r="D136" s="25">
        <f t="shared" si="14"/>
        <v>455.93882988648687</v>
      </c>
      <c r="E136" s="25">
        <f t="shared" si="15"/>
        <v>113.78775934606598</v>
      </c>
      <c r="F136" s="25">
        <f t="shared" si="16"/>
        <v>50.832094015102918</v>
      </c>
      <c r="G136" s="25">
        <f t="shared" si="17"/>
        <v>18.875026943668331</v>
      </c>
    </row>
    <row r="137" spans="3:7" x14ac:dyDescent="0.25">
      <c r="C137" s="2">
        <v>248</v>
      </c>
      <c r="D137" s="25">
        <f t="shared" si="14"/>
        <v>457.79219473147867</v>
      </c>
      <c r="E137" s="25">
        <f t="shared" si="15"/>
        <v>114.25353790095464</v>
      </c>
      <c r="F137" s="25">
        <f t="shared" si="16"/>
        <v>51.038310253386271</v>
      </c>
      <c r="G137" s="25">
        <f t="shared" si="17"/>
        <v>18.951906288153669</v>
      </c>
    </row>
    <row r="138" spans="3:7" x14ac:dyDescent="0.25">
      <c r="C138" s="2">
        <v>250</v>
      </c>
      <c r="D138" s="25">
        <f t="shared" si="14"/>
        <v>459.63811616371618</v>
      </c>
      <c r="E138" s="25">
        <f t="shared" si="15"/>
        <v>114.71745890846091</v>
      </c>
      <c r="F138" s="25">
        <f t="shared" si="16"/>
        <v>51.243696637553057</v>
      </c>
      <c r="G138" s="25">
        <f t="shared" si="17"/>
        <v>19.028477490283713</v>
      </c>
    </row>
    <row r="139" spans="3:7" x14ac:dyDescent="0.25">
      <c r="C139" s="2">
        <v>252</v>
      </c>
      <c r="D139" s="25">
        <f t="shared" si="14"/>
        <v>461.47668326858025</v>
      </c>
      <c r="E139" s="25">
        <f t="shared" si="15"/>
        <v>115.17954454876671</v>
      </c>
      <c r="F139" s="25">
        <f t="shared" si="16"/>
        <v>51.448263106175112</v>
      </c>
      <c r="G139" s="25">
        <f t="shared" si="17"/>
        <v>19.104744235568976</v>
      </c>
    </row>
    <row r="140" spans="3:7" x14ac:dyDescent="0.25">
      <c r="C140" s="2">
        <v>254</v>
      </c>
      <c r="D140" s="25">
        <f t="shared" si="14"/>
        <v>463.30798336803429</v>
      </c>
      <c r="E140" s="25">
        <f t="shared" si="15"/>
        <v>115.63981656361271</v>
      </c>
      <c r="F140" s="25">
        <f t="shared" si="16"/>
        <v>51.652019401015401</v>
      </c>
      <c r="G140" s="25">
        <f t="shared" si="17"/>
        <v>19.180710136595319</v>
      </c>
    </row>
    <row r="141" spans="3:7" x14ac:dyDescent="0.25">
      <c r="C141" s="2">
        <v>256</v>
      </c>
      <c r="D141" s="25">
        <f t="shared" si="14"/>
        <v>465.13210206911543</v>
      </c>
      <c r="E141" s="25">
        <f t="shared" si="15"/>
        <v>116.09829626834319</v>
      </c>
      <c r="F141" s="25">
        <f t="shared" si="16"/>
        <v>51.854975072441448</v>
      </c>
      <c r="G141" s="25">
        <f t="shared" si="17"/>
        <v>19.256378735028711</v>
      </c>
    </row>
    <row r="142" spans="3:7" x14ac:dyDescent="0.25">
      <c r="C142" s="2">
        <v>258</v>
      </c>
      <c r="D142" s="25">
        <f t="shared" si="14"/>
        <v>466.94912331072351</v>
      </c>
      <c r="E142" s="25">
        <f t="shared" si="15"/>
        <v>116.55500456352803</v>
      </c>
      <c r="F142" s="25">
        <f t="shared" si="16"/>
        <v>52.057139484648751</v>
      </c>
      <c r="G142" s="25">
        <f t="shared" si="17"/>
        <v>19.331753503549674</v>
      </c>
    </row>
    <row r="143" spans="3:7" x14ac:dyDescent="0.25">
      <c r="C143" s="2">
        <v>260</v>
      </c>
      <c r="D143" s="25">
        <f t="shared" si="14"/>
        <v>468.75912940878271</v>
      </c>
      <c r="E143" s="25">
        <f t="shared" si="15"/>
        <v>117.00996194618084</v>
      </c>
      <c r="F143" s="25">
        <f t="shared" si="16"/>
        <v>52.258521820702398</v>
      </c>
      <c r="G143" s="25">
        <f t="shared" si="17"/>
        <v>19.406837847720293</v>
      </c>
    </row>
    <row r="144" spans="3:7" x14ac:dyDescent="0.25">
      <c r="C144" s="2">
        <v>262</v>
      </c>
      <c r="D144" s="25">
        <f t="shared" si="14"/>
        <v>470.5622010998411</v>
      </c>
      <c r="E144" s="25">
        <f t="shared" si="15"/>
        <v>117.46318852058955</v>
      </c>
      <c r="F144" s="25">
        <f t="shared" si="16"/>
        <v>52.45913108740443</v>
      </c>
      <c r="G144" s="25">
        <f t="shared" si="17"/>
        <v>19.481635107786865</v>
      </c>
    </row>
    <row r="145" spans="3:7" x14ac:dyDescent="0.25">
      <c r="C145" s="2">
        <v>264</v>
      </c>
      <c r="D145" s="25">
        <f t="shared" si="14"/>
        <v>472.35841758317792</v>
      </c>
      <c r="E145" s="25">
        <f t="shared" si="15"/>
        <v>117.9147040087761</v>
      </c>
      <c r="F145" s="25">
        <f t="shared" si="16"/>
        <v>52.658976119994342</v>
      </c>
      <c r="G145" s="25">
        <f t="shared" si="17"/>
        <v>19.556148560420766</v>
      </c>
    </row>
    <row r="146" spans="3:7" x14ac:dyDescent="0.25">
      <c r="C146" s="2">
        <v>266</v>
      </c>
      <c r="D146" s="25">
        <f t="shared" ref="D146:D163" si="18">IF($G$15="","", IF(AND(C146&gt;=$M$4,C146&gt;=$G$15*$K$4,C146&gt;0),(C146-$G$15*$J$4)^$H$4*($I$4+C146*$L$4),"---"))</f>
        <v>474.14785656147745</v>
      </c>
      <c r="E146" s="25">
        <f t="shared" ref="E146:E163" si="19">IF($G$15="","", IF(AND(C146&gt;=$M$7,C146&gt;=$G$15*$K$7,C146&gt;0),(C146-$G$15*$J$7)^$H$7*($I$7+C146*$L$7),"---"))</f>
        <v>118.36452776060081</v>
      </c>
      <c r="F146" s="25">
        <f t="shared" ref="F146:F163" si="20">IF($G$15="","", IF(AND(C146&gt;=$M$8,C146&gt;=$G$15*$K$8,C146&gt;0),(C146-$G$15*$J$8)^$H$8*($I$8+C146*$L$8),"---"))</f>
        <v>52.858065586689669</v>
      </c>
      <c r="G146" s="25">
        <f t="shared" ref="G146:G163" si="21">IF($G$15="","", IF(AND(C146&gt;=$M$9,C146&gt;=$G$15*$K$9,C146&gt;0),(C146-$G$15*$J$9)^$H$9*($I$9+C146*$L$9),"---"))</f>
        <v>19.630381420400006</v>
      </c>
    </row>
    <row r="147" spans="3:7" x14ac:dyDescent="0.25">
      <c r="C147" s="2">
        <v>268</v>
      </c>
      <c r="D147" s="25">
        <f t="shared" si="18"/>
        <v>475.93059428012793</v>
      </c>
      <c r="E147" s="25">
        <f t="shared" si="19"/>
        <v>118.81267876352553</v>
      </c>
      <c r="F147" s="25">
        <f t="shared" si="20"/>
        <v>53.056407993073179</v>
      </c>
      <c r="G147" s="25">
        <f t="shared" si="21"/>
        <v>19.704336842234106</v>
      </c>
    </row>
    <row r="148" spans="3:7" x14ac:dyDescent="0.25">
      <c r="C148" s="2">
        <v>270</v>
      </c>
      <c r="D148" s="25">
        <f t="shared" si="18"/>
        <v>477.70670556520668</v>
      </c>
      <c r="E148" s="25">
        <f t="shared" si="19"/>
        <v>119.2591756520499</v>
      </c>
      <c r="F148" s="25">
        <f t="shared" si="20"/>
        <v>53.254011686332994</v>
      </c>
      <c r="G148" s="25">
        <f t="shared" si="21"/>
        <v>19.778017921734552</v>
      </c>
    </row>
    <row r="149" spans="3:7" x14ac:dyDescent="0.25">
      <c r="C149" s="2">
        <v>272</v>
      </c>
      <c r="D149" s="25">
        <f t="shared" si="18"/>
        <v>479.47626386019863</v>
      </c>
      <c r="E149" s="25">
        <f t="shared" si="19"/>
        <v>119.7040367168341</v>
      </c>
      <c r="F149" s="25">
        <f t="shared" si="20"/>
        <v>53.450884859361722</v>
      </c>
      <c r="G149" s="25">
        <f t="shared" si="21"/>
        <v>19.851427697532873</v>
      </c>
    </row>
    <row r="150" spans="3:7" x14ac:dyDescent="0.25">
      <c r="C150" s="2">
        <v>274</v>
      </c>
      <c r="D150" s="25">
        <f t="shared" si="18"/>
        <v>481.2393412615034</v>
      </c>
      <c r="E150" s="25">
        <f t="shared" si="19"/>
        <v>120.14727991352042</v>
      </c>
      <c r="F150" s="25">
        <f t="shared" si="20"/>
        <v>53.647035554720048</v>
      </c>
      <c r="G150" s="25">
        <f t="shared" si="21"/>
        <v>19.924569152548809</v>
      </c>
    </row>
    <row r="151" spans="3:7" x14ac:dyDescent="0.25">
      <c r="C151" s="2">
        <v>276</v>
      </c>
      <c r="D151" s="25">
        <f t="shared" si="18"/>
        <v>482.99600855277981</v>
      </c>
      <c r="E151" s="25">
        <f t="shared" si="19"/>
        <v>120.58892287126599</v>
      </c>
      <c r="F151" s="25">
        <f t="shared" si="20"/>
        <v>53.842471668470509</v>
      </c>
      <c r="G151" s="25">
        <f t="shared" si="21"/>
        <v>19.997445215410181</v>
      </c>
    </row>
    <row r="152" spans="3:7" x14ac:dyDescent="0.25">
      <c r="C152" s="2">
        <v>278</v>
      </c>
      <c r="D152" s="25">
        <f t="shared" si="18"/>
        <v>484.74633523817073</v>
      </c>
      <c r="E152" s="25">
        <f t="shared" si="19"/>
        <v>121.02898290099797</v>
      </c>
      <c r="F152" s="25">
        <f t="shared" si="20"/>
        <v>54.037200953886398</v>
      </c>
      <c r="G152" s="25">
        <f t="shared" si="21"/>
        <v>20.070058761826669</v>
      </c>
    </row>
    <row r="153" spans="3:7" x14ac:dyDescent="0.25">
      <c r="C153" s="2">
        <v>280</v>
      </c>
      <c r="D153" s="25">
        <f t="shared" si="18"/>
        <v>486.49038957445401</v>
      </c>
      <c r="E153" s="25">
        <f t="shared" si="19"/>
        <v>121.46747700340221</v>
      </c>
      <c r="F153" s="25">
        <f t="shared" si="20"/>
        <v>54.231231025040863</v>
      </c>
      <c r="G153" s="25">
        <f t="shared" si="21"/>
        <v>20.142412615919149</v>
      </c>
    </row>
    <row r="154" spans="3:7" x14ac:dyDescent="0.25">
      <c r="C154" s="2">
        <v>282</v>
      </c>
      <c r="D154" s="25">
        <f t="shared" si="18"/>
        <v>488.22823860216528</v>
      </c>
      <c r="E154" s="25">
        <f t="shared" si="19"/>
        <v>121.90442187665582</v>
      </c>
      <c r="F154" s="25">
        <f t="shared" si="20"/>
        <v>54.424569360280714</v>
      </c>
      <c r="G154" s="25">
        <f t="shared" si="21"/>
        <v>20.214509551506492</v>
      </c>
    </row>
    <row r="155" spans="3:7" x14ac:dyDescent="0.25">
      <c r="C155" s="2">
        <v>284</v>
      </c>
      <c r="D155" s="25">
        <f t="shared" si="18"/>
        <v>489.95994817572546</v>
      </c>
      <c r="E155" s="25">
        <f t="shared" si="19"/>
        <v>122.33983392391367</v>
      </c>
      <c r="F155" s="25">
        <f t="shared" si="20"/>
        <v>54.617223305589782</v>
      </c>
      <c r="G155" s="25">
        <f t="shared" si="21"/>
        <v>20.286352293351211</v>
      </c>
    </row>
    <row r="156" spans="3:7" x14ac:dyDescent="0.25">
      <c r="C156" s="2">
        <v>286</v>
      </c>
      <c r="D156" s="25">
        <f t="shared" si="18"/>
        <v>491.68558299261804</v>
      </c>
      <c r="E156" s="25">
        <f t="shared" si="19"/>
        <v>122.77372926055835</v>
      </c>
      <c r="F156" s="25">
        <f t="shared" si="20"/>
        <v>54.809200077845617</v>
      </c>
      <c r="G156" s="25">
        <f t="shared" si="21"/>
        <v>20.357943518365925</v>
      </c>
    </row>
    <row r="157" spans="3:7" x14ac:dyDescent="0.25">
      <c r="C157" s="2">
        <v>288</v>
      </c>
      <c r="D157" s="25">
        <f t="shared" si="18"/>
        <v>493.40520662164971</v>
      </c>
      <c r="E157" s="25">
        <f t="shared" si="19"/>
        <v>123.2061237212225</v>
      </c>
      <c r="F157" s="25">
        <f t="shared" si="20"/>
        <v>55.000506767974095</v>
      </c>
      <c r="G157" s="25">
        <f t="shared" si="21"/>
        <v>20.429285856781799</v>
      </c>
    </row>
    <row r="158" spans="3:7" x14ac:dyDescent="0.25">
      <c r="C158" s="2">
        <v>290</v>
      </c>
      <c r="D158" s="25">
        <f t="shared" si="18"/>
        <v>495.11888153032709</v>
      </c>
      <c r="E158" s="25">
        <f t="shared" si="19"/>
        <v>123.63703286659208</v>
      </c>
      <c r="F158" s="25">
        <f t="shared" si="20"/>
        <v>55.191150344005493</v>
      </c>
      <c r="G158" s="25">
        <f t="shared" si="21"/>
        <v>20.500381893280569</v>
      </c>
    </row>
    <row r="159" spans="3:7" x14ac:dyDescent="0.25">
      <c r="C159" s="2">
        <v>292</v>
      </c>
      <c r="D159" s="25">
        <f t="shared" si="18"/>
        <v>496.82666911138932</v>
      </c>
      <c r="E159" s="25">
        <f t="shared" si="19"/>
        <v>124.06647198999974</v>
      </c>
      <c r="F159" s="25">
        <f t="shared" si="20"/>
        <v>55.381137654035861</v>
      </c>
      <c r="G159" s="25">
        <f t="shared" si="21"/>
        <v>20.571234168091554</v>
      </c>
    </row>
    <row r="160" spans="3:7" x14ac:dyDescent="0.25">
      <c r="C160" s="2">
        <v>294</v>
      </c>
      <c r="D160" s="25">
        <f t="shared" si="18"/>
        <v>498.52862970852101</v>
      </c>
      <c r="E160" s="25">
        <f t="shared" si="19"/>
        <v>124.49445612381459</v>
      </c>
      <c r="F160" s="25">
        <f t="shared" si="20"/>
        <v>55.570475429097442</v>
      </c>
      <c r="G160" s="25">
        <f t="shared" si="21"/>
        <v>20.64184517805489</v>
      </c>
    </row>
    <row r="161" spans="3:7" x14ac:dyDescent="0.25">
      <c r="C161" s="2">
        <v>296</v>
      </c>
      <c r="D161" s="25">
        <f t="shared" si="18"/>
        <v>500.22482264128212</v>
      </c>
      <c r="E161" s="25">
        <f t="shared" si="19"/>
        <v>124.92100004563756</v>
      </c>
      <c r="F161" s="25">
        <f t="shared" si="20"/>
        <v>55.759170285941082</v>
      </c>
      <c r="G161" s="25">
        <f t="shared" si="21"/>
        <v>20.712217377652319</v>
      </c>
    </row>
    <row r="162" spans="3:7" x14ac:dyDescent="0.25">
      <c r="C162" s="2">
        <v>298</v>
      </c>
      <c r="D162" s="25">
        <f t="shared" si="18"/>
        <v>501.9153062292786</v>
      </c>
      <c r="E162" s="25">
        <f t="shared" si="19"/>
        <v>125.34611828430891</v>
      </c>
      <c r="F162" s="25">
        <f t="shared" si="20"/>
        <v>55.947228729734476</v>
      </c>
      <c r="G162" s="25">
        <f t="shared" si="21"/>
        <v>20.782353180006659</v>
      </c>
    </row>
    <row r="163" spans="3:7" x14ac:dyDescent="0.25">
      <c r="C163" s="2">
        <v>300</v>
      </c>
      <c r="D163" s="25">
        <f t="shared" si="18"/>
        <v>503.60013781560741</v>
      </c>
      <c r="E163" s="25">
        <f t="shared" si="19"/>
        <v>125.76982512573395</v>
      </c>
      <c r="F163" s="25">
        <f t="shared" si="20"/>
        <v>56.134657156678891</v>
      </c>
      <c r="G163" s="25">
        <f t="shared" si="21"/>
        <v>20.852254957851137</v>
      </c>
    </row>
  </sheetData>
  <mergeCells count="3">
    <mergeCell ref="C2:D2"/>
    <mergeCell ref="N3:X3"/>
    <mergeCell ref="A4:A12"/>
  </mergeCells>
  <pageMargins left="0.7" right="0.7" top="0.75" bottom="0.75" header="0.3" footer="0.3"/>
  <pageSetup orientation="portrait" copies="2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20"/>
  <sheetViews>
    <sheetView zoomScale="85" zoomScaleNormal="85" workbookViewId="0">
      <selection activeCell="O29" sqref="O29"/>
    </sheetView>
  </sheetViews>
  <sheetFormatPr defaultColWidth="9.140625" defaultRowHeight="15" x14ac:dyDescent="0.25"/>
  <cols>
    <col min="1" max="2" width="9.140625" style="2"/>
    <col min="3" max="4" width="10.85546875" style="2" customWidth="1"/>
    <col min="5" max="5" width="11.42578125" style="2" customWidth="1"/>
    <col min="6" max="6" width="11.7109375" style="2" hidden="1" customWidth="1"/>
    <col min="7" max="7" width="9.5703125" style="2" customWidth="1"/>
    <col min="8" max="8" width="8.42578125" style="2" bestFit="1" customWidth="1"/>
    <col min="9" max="9" width="9.5703125" style="2" customWidth="1"/>
    <col min="10" max="12" width="9.42578125" style="2" customWidth="1"/>
    <col min="13" max="13" width="10.28515625" style="2" customWidth="1"/>
    <col min="14" max="14" width="9.28515625" style="2" customWidth="1"/>
    <col min="15" max="16384" width="9.140625" style="2"/>
  </cols>
  <sheetData>
    <row r="1" spans="1:24" ht="15.75" thickBot="1" x14ac:dyDescent="0.3"/>
    <row r="2" spans="1:24" ht="40.5" customHeight="1" thickBot="1" x14ac:dyDescent="0.3">
      <c r="C2" s="944" t="s">
        <v>28</v>
      </c>
      <c r="D2" s="945"/>
      <c r="E2" s="144" t="s">
        <v>38</v>
      </c>
      <c r="G2" s="108" t="s">
        <v>32</v>
      </c>
      <c r="H2" s="108"/>
      <c r="I2" s="108"/>
      <c r="J2" s="108"/>
      <c r="K2" s="108"/>
      <c r="M2" s="1"/>
    </row>
    <row r="3" spans="1:24" ht="46.5" customHeight="1" thickBot="1" x14ac:dyDescent="0.35">
      <c r="A3" s="3" t="s">
        <v>7</v>
      </c>
      <c r="B3" s="3" t="s">
        <v>8</v>
      </c>
      <c r="C3" s="80" t="s">
        <v>33</v>
      </c>
      <c r="D3" s="81" t="s">
        <v>30</v>
      </c>
      <c r="E3" s="126" t="s">
        <v>39</v>
      </c>
      <c r="F3" s="227" t="s">
        <v>27</v>
      </c>
      <c r="G3" s="115" t="s">
        <v>26</v>
      </c>
      <c r="H3" s="127" t="s">
        <v>1</v>
      </c>
      <c r="I3" s="128" t="s">
        <v>0</v>
      </c>
      <c r="J3" s="128" t="s">
        <v>2</v>
      </c>
      <c r="K3" s="128" t="s">
        <v>5</v>
      </c>
      <c r="L3" s="128" t="s">
        <v>3</v>
      </c>
      <c r="M3" s="129" t="s">
        <v>6</v>
      </c>
      <c r="N3" s="964" t="s">
        <v>43</v>
      </c>
      <c r="O3" s="965"/>
      <c r="P3" s="965"/>
      <c r="Q3" s="965"/>
      <c r="R3" s="965"/>
      <c r="S3" s="965"/>
      <c r="T3" s="965"/>
      <c r="U3" s="965"/>
      <c r="V3" s="965"/>
      <c r="W3" s="965"/>
      <c r="X3" s="965"/>
    </row>
    <row r="4" spans="1:24" ht="15.75" customHeight="1" x14ac:dyDescent="0.25">
      <c r="A4" s="937">
        <v>450</v>
      </c>
      <c r="B4" s="228">
        <f>'Round B1'!B50</f>
        <v>74</v>
      </c>
      <c r="C4" s="48">
        <v>25</v>
      </c>
      <c r="D4" s="48">
        <v>300</v>
      </c>
      <c r="E4" s="134">
        <f>IF(OR(C4="",D4="", D4&lt;0),"---",        IF(AND(C4&gt;0, D4&gt;=M4,D4&gt;=ABS(C4)*K4),D4,"---"))</f>
        <v>300</v>
      </c>
      <c r="F4" s="13" t="e">
        <f>IF(OR(#REF!="", E4=""),"",(E4-#REF!*J4)^H4*(I4+E4*L4))</f>
        <v>#REF!</v>
      </c>
      <c r="G4" s="132">
        <f>IF(E4="---","---", (E4-ABS(C4)*J4)^H4*(I4+E4*L4))</f>
        <v>125.80147126212326</v>
      </c>
      <c r="H4" s="120">
        <f>'Round B1'!I50</f>
        <v>0.50449999999999995</v>
      </c>
      <c r="I4" s="99">
        <f>'Round B1'!J50</f>
        <v>7.0791000000000004</v>
      </c>
      <c r="J4" s="100">
        <f>'Round B1'!K50</f>
        <v>0</v>
      </c>
      <c r="K4" s="100">
        <f>'Round B1'!L50</f>
        <v>0.15</v>
      </c>
      <c r="L4" s="101">
        <f>'Round B1'!M50</f>
        <v>0</v>
      </c>
      <c r="M4" s="102">
        <f>'Round B1'!N50</f>
        <v>250</v>
      </c>
      <c r="N4" s="23" t="s">
        <v>36</v>
      </c>
      <c r="O4" s="23"/>
      <c r="P4" s="23"/>
      <c r="Q4" s="23"/>
      <c r="R4" s="23"/>
      <c r="S4" s="23"/>
      <c r="T4" s="23"/>
      <c r="U4" s="23"/>
    </row>
    <row r="5" spans="1:24" ht="15" customHeight="1" x14ac:dyDescent="0.25">
      <c r="A5" s="938"/>
      <c r="B5" s="229" t="str">
        <f>'Round B1'!B51</f>
        <v>74*</v>
      </c>
      <c r="C5" s="49">
        <v>-25</v>
      </c>
      <c r="D5" s="49">
        <v>300</v>
      </c>
      <c r="E5" s="135">
        <f>IF(OR(C5="",D5="", D5&lt;0),"---",        IF(AND(C5&lt;0, D5&gt;=M5,D5&gt;=ABS(C5)*K5),D5,"---"))</f>
        <v>300</v>
      </c>
      <c r="F5" s="15" t="e">
        <f>IF(OR(#REF!="", E5=""),"",(E5-#REF!*J5)^H5*(I5+E5*L5))</f>
        <v>#REF!</v>
      </c>
      <c r="G5" s="137">
        <f t="shared" ref="G5:G12" si="0">IF(E5="---","---", (E5-ABS(C5)*J5)^H5*(I5+E5*L5))</f>
        <v>123.91598636984722</v>
      </c>
      <c r="H5" s="121">
        <f>'Round B1'!I51</f>
        <v>0.50449999999999995</v>
      </c>
      <c r="I5" s="218">
        <f>'Round B1'!J51</f>
        <v>6.9729999999999999</v>
      </c>
      <c r="J5" s="103">
        <f>'Round B1'!K51</f>
        <v>0</v>
      </c>
      <c r="K5" s="103">
        <f>'Round B1'!L51</f>
        <v>0.15</v>
      </c>
      <c r="L5" s="104">
        <f>'Round B1'!M51</f>
        <v>0</v>
      </c>
      <c r="M5" s="105">
        <f>'Round B1'!N51</f>
        <v>250</v>
      </c>
      <c r="N5" s="23" t="s">
        <v>37</v>
      </c>
      <c r="O5" s="23"/>
      <c r="P5" s="23"/>
      <c r="Q5" s="30"/>
      <c r="R5" s="30"/>
      <c r="S5" s="30"/>
      <c r="T5" s="30"/>
      <c r="U5" s="30"/>
    </row>
    <row r="6" spans="1:24" ht="15" customHeight="1" x14ac:dyDescent="0.25">
      <c r="A6" s="938"/>
      <c r="B6" s="92">
        <f>'Round B1'!B52</f>
        <v>47</v>
      </c>
      <c r="C6" s="49">
        <v>25</v>
      </c>
      <c r="D6" s="49">
        <v>300</v>
      </c>
      <c r="E6" s="135">
        <f t="shared" ref="E6:E12" si="1">IF(OR(C6="",D6="", D6&lt;0),"---",        IF(AND(D6&gt;=M6,D6&gt;=ABS(C6)*K6),D6,"---"))</f>
        <v>300</v>
      </c>
      <c r="F6" s="15" t="e">
        <f>IF(OR(#REF!="", E6=""),"",(E6-#REF!*J6)^H6*(I6+E6*L6))</f>
        <v>#REF!</v>
      </c>
      <c r="G6" s="137">
        <f t="shared" si="0"/>
        <v>54.199653513024053</v>
      </c>
      <c r="H6" s="122">
        <f>'Round B1'!I52</f>
        <v>0.48799999999999999</v>
      </c>
      <c r="I6" s="8">
        <f>'Round B1'!J52</f>
        <v>3.3508990000000001</v>
      </c>
      <c r="J6" s="5">
        <f>'Round B1'!K52</f>
        <v>0</v>
      </c>
      <c r="K6" s="5">
        <f>'Round B1'!L52</f>
        <v>0.12</v>
      </c>
      <c r="L6" s="36">
        <f>'Round B1'!M52</f>
        <v>0</v>
      </c>
      <c r="M6" s="37">
        <f>'Round B1'!N52</f>
        <v>250</v>
      </c>
      <c r="O6" s="30"/>
      <c r="P6" s="30"/>
      <c r="Q6" s="30"/>
      <c r="R6" s="30"/>
    </row>
    <row r="7" spans="1:24" ht="15" customHeight="1" x14ac:dyDescent="0.25">
      <c r="A7" s="938"/>
      <c r="B7" s="174">
        <f>'Round B1'!B53</f>
        <v>29</v>
      </c>
      <c r="C7" s="49">
        <v>25</v>
      </c>
      <c r="D7" s="49">
        <v>300</v>
      </c>
      <c r="E7" s="135">
        <f t="shared" si="1"/>
        <v>300</v>
      </c>
      <c r="F7" s="15" t="e">
        <f>IF(OR(#REF!="", E7=""),"",(E7-#REF!*J7)^H7*(I7+E7*L7))</f>
        <v>#REF!</v>
      </c>
      <c r="G7" s="137">
        <f t="shared" si="0"/>
        <v>19.494519850516042</v>
      </c>
      <c r="H7" s="122">
        <f>'Round B1'!I53</f>
        <v>0.49890000000000001</v>
      </c>
      <c r="I7" s="8">
        <f>'Round B1'!J53</f>
        <v>1.1326004999999999</v>
      </c>
      <c r="J7" s="5">
        <f>'Round B1'!K53</f>
        <v>0</v>
      </c>
      <c r="K7" s="5">
        <f>'Round B1'!L53</f>
        <v>0.15</v>
      </c>
      <c r="L7" s="36">
        <f>'Round B1'!M53</f>
        <v>0</v>
      </c>
      <c r="M7" s="37">
        <f>'Round B1'!N53</f>
        <v>250</v>
      </c>
    </row>
    <row r="8" spans="1:24" ht="15" customHeight="1" x14ac:dyDescent="0.25">
      <c r="A8" s="938"/>
      <c r="B8" s="174">
        <f>'Round B1'!B54</f>
        <v>18</v>
      </c>
      <c r="C8" s="49">
        <v>25</v>
      </c>
      <c r="D8" s="49">
        <v>15</v>
      </c>
      <c r="E8" s="135" t="str">
        <f t="shared" si="1"/>
        <v>---</v>
      </c>
      <c r="F8" s="20" t="e">
        <f>IF(OR(#REF!="", E8=""),"",(E8-#REF!*J8)^H8*(I8+E8*L8))</f>
        <v>#REF!</v>
      </c>
      <c r="G8" s="147" t="str">
        <f t="shared" si="0"/>
        <v>---</v>
      </c>
      <c r="H8" s="122">
        <f>'Round B1'!I54</f>
        <v>0.49930000000000002</v>
      </c>
      <c r="I8" s="4">
        <f>'Round B1'!J54</f>
        <v>0.43080000000000002</v>
      </c>
      <c r="J8" s="5">
        <f>'Round B1'!K54</f>
        <v>0</v>
      </c>
      <c r="K8" s="5">
        <f>'Round B1'!L54</f>
        <v>0.15</v>
      </c>
      <c r="L8" s="36">
        <f>'Round B1'!M54</f>
        <v>0</v>
      </c>
      <c r="M8" s="37">
        <f>'Round B1'!N54</f>
        <v>250</v>
      </c>
    </row>
    <row r="9" spans="1:24" ht="15" customHeight="1" x14ac:dyDescent="0.25">
      <c r="A9" s="938"/>
      <c r="B9" s="91">
        <f>'Round B1'!B55</f>
        <v>11</v>
      </c>
      <c r="C9" s="49">
        <v>25</v>
      </c>
      <c r="D9" s="49">
        <v>25</v>
      </c>
      <c r="E9" s="135" t="str">
        <f t="shared" si="1"/>
        <v>---</v>
      </c>
      <c r="F9" s="20" t="e">
        <f>IF(OR(#REF!="", E9=""),"",(E9-#REF!*J9)^H9*(I9+E9*L9))</f>
        <v>#REF!</v>
      </c>
      <c r="G9" s="147" t="str">
        <f t="shared" si="0"/>
        <v>---</v>
      </c>
      <c r="H9" s="122">
        <f>'Round B1'!I55</f>
        <v>0.50219999999999998</v>
      </c>
      <c r="I9" s="4">
        <f>'Round B1'!J55</f>
        <v>0.1681</v>
      </c>
      <c r="J9" s="5">
        <f>'Round B1'!K55</f>
        <v>0</v>
      </c>
      <c r="K9" s="5">
        <f>'Round B1'!L55</f>
        <v>0.14000000000000001</v>
      </c>
      <c r="L9" s="36">
        <f>'Round B1'!M55</f>
        <v>0</v>
      </c>
      <c r="M9" s="37">
        <f>'Round B1'!N55</f>
        <v>250</v>
      </c>
    </row>
    <row r="10" spans="1:24" ht="15" customHeight="1" x14ac:dyDescent="0.25">
      <c r="A10" s="938"/>
      <c r="B10" s="174">
        <f>'Round B1'!B56</f>
        <v>7</v>
      </c>
      <c r="C10" s="49">
        <v>25</v>
      </c>
      <c r="D10" s="49">
        <v>35</v>
      </c>
      <c r="E10" s="135" t="str">
        <f t="shared" si="1"/>
        <v>---</v>
      </c>
      <c r="F10" s="68" t="e">
        <f>IF(OR(#REF!="", E10=""),"",(E10-#REF!*J10)^H10*(I10+E10*L10))</f>
        <v>#REF!</v>
      </c>
      <c r="G10" s="147" t="str">
        <f t="shared" si="0"/>
        <v>---</v>
      </c>
      <c r="H10" s="122">
        <f>'Round B1'!I56</f>
        <v>0.50090000000000001</v>
      </c>
      <c r="I10" s="42">
        <f>'Round B1'!J56</f>
        <v>6.6500000000000004E-2</v>
      </c>
      <c r="J10" s="5">
        <f>'Round B1'!K56</f>
        <v>0</v>
      </c>
      <c r="K10" s="5">
        <f>'Round B1'!L56</f>
        <v>0.08</v>
      </c>
      <c r="L10" s="36">
        <f>'Round B1'!M56</f>
        <v>0</v>
      </c>
      <c r="M10" s="37">
        <f>'Round B1'!N56</f>
        <v>250</v>
      </c>
      <c r="N10" s="1"/>
    </row>
    <row r="11" spans="1:24" ht="15" customHeight="1" x14ac:dyDescent="0.25">
      <c r="A11" s="938"/>
      <c r="B11" s="174">
        <f>'Round B1'!B57</f>
        <v>3</v>
      </c>
      <c r="C11" s="49">
        <v>25</v>
      </c>
      <c r="D11" s="49">
        <v>300</v>
      </c>
      <c r="E11" s="135">
        <f t="shared" si="1"/>
        <v>300</v>
      </c>
      <c r="F11" s="68" t="e">
        <f>IF(OR(#REF!="", E11=""),"",(E11-#REF!*J11)^H11*(I11+E11*L11))</f>
        <v>#REF!</v>
      </c>
      <c r="G11" s="147">
        <f t="shared" si="0"/>
        <v>0.32524023150040404</v>
      </c>
      <c r="H11" s="122">
        <f>'Round B1'!I57</f>
        <v>0.55400000000000005</v>
      </c>
      <c r="I11" s="42">
        <f>'Round B1'!J57</f>
        <v>1.38E-2</v>
      </c>
      <c r="J11" s="5">
        <f>'Round B1'!K57</f>
        <v>0</v>
      </c>
      <c r="K11" s="5">
        <f>'Round B1'!L57</f>
        <v>0.1</v>
      </c>
      <c r="L11" s="36">
        <f>'Round B1'!M57</f>
        <v>0</v>
      </c>
      <c r="M11" s="37">
        <f>'Round B1'!N57</f>
        <v>250</v>
      </c>
    </row>
    <row r="12" spans="1:24" ht="15.75" customHeight="1" x14ac:dyDescent="0.25">
      <c r="A12" s="938"/>
      <c r="B12" s="174">
        <f>'Round B1'!B58</f>
        <v>2</v>
      </c>
      <c r="C12" s="49">
        <v>25</v>
      </c>
      <c r="D12" s="49">
        <v>250</v>
      </c>
      <c r="E12" s="135" t="str">
        <f t="shared" si="1"/>
        <v>---</v>
      </c>
      <c r="F12" s="68" t="e">
        <f>IF(OR(#REF!="", E12=""),"",(E12-#REF!*J12)^H12*(I12+E12*L12))</f>
        <v>#REF!</v>
      </c>
      <c r="G12" s="147" t="str">
        <f t="shared" si="0"/>
        <v>---</v>
      </c>
      <c r="H12" s="113">
        <f>'Round B1'!I58</f>
        <v>0.53</v>
      </c>
      <c r="I12" s="42">
        <f>'Round B1'!J58</f>
        <v>6.4999999999999997E-3</v>
      </c>
      <c r="J12" s="5">
        <f>'Round B1'!K58</f>
        <v>0</v>
      </c>
      <c r="K12" s="5">
        <f>'Round B1'!L58</f>
        <v>0.12</v>
      </c>
      <c r="L12" s="36">
        <f>'Round B1'!M58</f>
        <v>0</v>
      </c>
      <c r="M12" s="37">
        <f>'Round B1'!N58</f>
        <v>350</v>
      </c>
    </row>
    <row r="13" spans="1:24" ht="15.75" customHeight="1" thickBot="1" x14ac:dyDescent="0.3">
      <c r="A13" s="939"/>
      <c r="B13" s="93">
        <f>'Round B1'!B59</f>
        <v>1</v>
      </c>
      <c r="C13" s="50"/>
      <c r="D13" s="50"/>
      <c r="E13" s="136"/>
      <c r="F13" s="21"/>
      <c r="G13" s="149"/>
      <c r="H13" s="114">
        <f>'Round B1'!I59</f>
        <v>0.56000000000000005</v>
      </c>
      <c r="I13" s="38">
        <f>'Round B1'!J59</f>
        <v>2.0400000000000001E-3</v>
      </c>
      <c r="J13" s="19">
        <f>'Round B1'!K59</f>
        <v>0</v>
      </c>
      <c r="K13" s="19">
        <f>'Round B1'!L59</f>
        <v>0.12</v>
      </c>
      <c r="L13" s="39">
        <f>'Round B1'!M59</f>
        <v>0</v>
      </c>
      <c r="M13" s="40">
        <f>'Round B1'!N59</f>
        <v>350</v>
      </c>
    </row>
    <row r="14" spans="1:24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24" x14ac:dyDescent="0.25">
      <c r="C15" s="27" t="s">
        <v>9</v>
      </c>
      <c r="D15" s="27"/>
      <c r="E15" s="27"/>
      <c r="F15" s="27"/>
      <c r="G15" s="28">
        <v>250</v>
      </c>
    </row>
    <row r="16" spans="1:24" x14ac:dyDescent="0.25">
      <c r="C16" s="22"/>
      <c r="D16" s="22"/>
      <c r="E16" s="43"/>
      <c r="F16" s="43"/>
      <c r="G16" s="43"/>
    </row>
    <row r="17" spans="3:16" x14ac:dyDescent="0.25">
      <c r="C17" s="26" t="s">
        <v>29</v>
      </c>
      <c r="D17" s="26" t="s">
        <v>67</v>
      </c>
      <c r="E17" s="230">
        <f>B4</f>
        <v>74</v>
      </c>
      <c r="F17" s="231" t="str">
        <f>B5</f>
        <v>74*</v>
      </c>
      <c r="G17" s="26" t="str">
        <f>B5&amp;"*"</f>
        <v>74**</v>
      </c>
      <c r="H17" s="231">
        <f>B6</f>
        <v>47</v>
      </c>
      <c r="I17" s="231">
        <f>B7</f>
        <v>29</v>
      </c>
      <c r="J17" s="231">
        <f>B8</f>
        <v>18</v>
      </c>
      <c r="K17" s="231">
        <f>B9</f>
        <v>11</v>
      </c>
      <c r="L17" s="231">
        <f>B10</f>
        <v>7</v>
      </c>
      <c r="M17" s="231">
        <f>B11</f>
        <v>3</v>
      </c>
      <c r="N17" s="231">
        <f>B12</f>
        <v>2</v>
      </c>
      <c r="O17" s="231">
        <f>B13</f>
        <v>1</v>
      </c>
    </row>
    <row r="18" spans="3:16" x14ac:dyDescent="0.25">
      <c r="C18" s="235">
        <v>246</v>
      </c>
      <c r="D18" s="236">
        <f>C18/249.174</f>
        <v>0.98726191336174718</v>
      </c>
      <c r="E18" s="237" t="str">
        <f>IF($G$15="","", IF(AND(C18&gt;=$M$4,C18&gt;=$G$15*$K$4,C18&gt;0),(C18-$G$15*$J$4)^$H$4*($I$4+C18*$L$4),"---"))</f>
        <v>---</v>
      </c>
      <c r="F18" s="238" t="str">
        <f t="shared" ref="F18:F49" si="2">IF($G$15="","", IF(AND(C18&gt;=$M$5,C18&gt;=$G$15*$K$5,C18&gt;0),(C18-$G$15*$J$5)^$H$5*($I$5+C18*$L$5),"---"))</f>
        <v>---</v>
      </c>
      <c r="G18" s="238" t="str">
        <f>IF($G$15="","", IF(AND(C18&gt;=$M$5,C18&gt;=$G$15*$K$5,C18&gt;0),(C18-$G$15*$J$5)^$H$5*($I$5+C18*$L$5),"---"))</f>
        <v>---</v>
      </c>
      <c r="H18" s="237" t="str">
        <f>IF($G$15="","", IF(AND(C18&gt;=$M$6,C18&gt;=$G$15*$K$6,C18&gt;0),(C18-$G$15*$J$6)^$H$6*($I$6+C18*$L$6),"---"))</f>
        <v>---</v>
      </c>
      <c r="I18" s="237" t="str">
        <f>IF($G$15="","", IF(AND(C18&gt;=$M$7,C18&gt;=$G$15*$K$7,C18&gt;0),(C18-$G$15*$J$7)^$H$7*($I$7+C18*$L$7),"---"))</f>
        <v>---</v>
      </c>
      <c r="J18" s="237" t="str">
        <f>IF($G$15="","", IF(AND(C18&gt;=$M$8,C18&gt;=$G$15*$K$8,C18&gt;0),(C18-$G$15*$J$8)^$H$8*($I$8+C18*$L$8),"---"))</f>
        <v>---</v>
      </c>
      <c r="K18" s="237" t="str">
        <f>IF($G$15="","", IF(AND(C18&gt;=$M$9,C18&gt;=$G$15*$K$9,C18&gt;0),(C18-$G$15*$J$9)^$H$9*($I$9+C18*$L$9),"---"))</f>
        <v>---</v>
      </c>
      <c r="L18" s="237" t="str">
        <f>IF($G$15="","", IF(AND(C18&gt;=$M$10,C18&gt;=$G$15*$K$10,C18&gt;0),(C18-$G$15*$J$10)^$H$10*($I$10+C18*$L$10),"---"))</f>
        <v>---</v>
      </c>
      <c r="M18" s="237" t="str">
        <f>IF($G$15="","", IF(AND(C18&gt;=$M$11,C18&gt;=$G$15*$K$11,C18&gt;0),(C18-$G$15*$J$11)^$H$11*($I$11+C18*$L$11),"---"))</f>
        <v>---</v>
      </c>
      <c r="N18" s="237" t="str">
        <f>IF($G$15="","", IF(AND(C18&gt;=$M$12,C18&gt;=$G$15*$K$12,C18&gt;0),(C18-$G$15*$J$12)^$H$12*($I$12+C18*$L$12),"---"))</f>
        <v>---</v>
      </c>
      <c r="O18" s="237" t="str">
        <f>IF($G$15="","", IF(AND(C18&gt;=$M$13,C18&gt;=$G$15*$K$13,C18&gt;0),(C18-$G$15*$J$13)^$H$13*($I$13+C18*$L$13),"---"))</f>
        <v>---</v>
      </c>
    </row>
    <row r="19" spans="3:16" x14ac:dyDescent="0.25">
      <c r="C19" s="235">
        <v>248</v>
      </c>
      <c r="D19" s="236">
        <f t="shared" ref="D19:D82" si="3">C19/249.174</f>
        <v>0.99528843298257441</v>
      </c>
      <c r="E19" s="237" t="str">
        <f t="shared" ref="E19:E49" si="4">IF($G$15="","", IF(AND(C19&gt;=$M$4,C19&gt;=$G$15*$K$4,C19&gt;0),(C19-$G$15*$J$4)^$H$4*($I$4+C19*$L$4),"---"))</f>
        <v>---</v>
      </c>
      <c r="F19" s="238" t="str">
        <f t="shared" si="2"/>
        <v>---</v>
      </c>
      <c r="G19" s="238" t="str">
        <f t="shared" ref="G19:G82" si="5">IF($G$15="","", IF(AND(C19&gt;=$M$5,C19&gt;=$G$15*$K$5,C19&gt;0),(C19-$G$15*$J$5)^$H$5*($I$5+C19*$L$5),"---"))</f>
        <v>---</v>
      </c>
      <c r="H19" s="237" t="str">
        <f t="shared" ref="H19:H82" si="6">IF($G$15="","", IF(AND(C19&gt;=$M$6,C19&gt;=$G$15*$K$6,C19&gt;0),(C19-$G$15*$J$6)^$H$6*($I$6+C19*$L$6),"---"))</f>
        <v>---</v>
      </c>
      <c r="I19" s="237" t="str">
        <f t="shared" ref="I19:I82" si="7">IF($G$15="","", IF(AND(C19&gt;=$M$7,C19&gt;=$G$15*$K$7,C19&gt;0),(C19-$G$15*$J$7)^$H$7*($I$7+C19*$L$7),"---"))</f>
        <v>---</v>
      </c>
      <c r="J19" s="237" t="str">
        <f t="shared" ref="J19:J82" si="8">IF($G$15="","", IF(AND(C19&gt;=$M$8,C19&gt;=$G$15*$K$8,C19&gt;0),(C19-$G$15*$J$8)^$H$8*($I$8+C19*$L$8),"---"))</f>
        <v>---</v>
      </c>
      <c r="K19" s="237" t="str">
        <f t="shared" ref="K19:K82" si="9">IF($G$15="","", IF(AND(C19&gt;=$M$9,C19&gt;=$G$15*$K$9,C19&gt;0),(C19-$G$15*$J$9)^$H$9*($I$9+C19*$L$9),"---"))</f>
        <v>---</v>
      </c>
      <c r="L19" s="237" t="str">
        <f t="shared" ref="L19:L82" si="10">IF($G$15="","", IF(AND(C19&gt;=$M$10,C19&gt;=$G$15*$K$10,C19&gt;0),(C19-$G$15*$J$10)^$H$10*($I$10+C19*$L$10),"---"))</f>
        <v>---</v>
      </c>
      <c r="M19" s="237" t="str">
        <f t="shared" ref="M19:M82" si="11">IF($G$15="","", IF(AND(C19&gt;=$M$11,C19&gt;=$G$15*$K$11,C19&gt;0),(C19-$G$15*$J$11)^$H$11*($I$11+C19*$L$11),"---"))</f>
        <v>---</v>
      </c>
      <c r="N19" s="237" t="str">
        <f t="shared" ref="N19:N82" si="12">IF($G$15="","", IF(AND(C19&gt;=$M$12,C19&gt;=$G$15*$K$12,C19&gt;0),(C19-$G$15*$J$12)^$H$12*($I$12+C19*$L$12),"---"))</f>
        <v>---</v>
      </c>
      <c r="O19" s="237" t="str">
        <f t="shared" ref="O19:O82" si="13">IF($G$15="","", IF(AND(C19&gt;=$M$13,C19&gt;=$G$15*$K$13,C19&gt;0),(C19-$G$15*$J$13)^$H$13*($I$13+C19*$L$13),"---"))</f>
        <v>---</v>
      </c>
    </row>
    <row r="20" spans="3:16" x14ac:dyDescent="0.25">
      <c r="C20" s="2">
        <v>250</v>
      </c>
      <c r="D20" s="25">
        <f t="shared" si="3"/>
        <v>1.0033149526034015</v>
      </c>
      <c r="E20" s="52">
        <f t="shared" si="4"/>
        <v>114.74632405435122</v>
      </c>
      <c r="F20" s="32">
        <f t="shared" si="2"/>
        <v>113.02653128660296</v>
      </c>
      <c r="G20" s="234">
        <f t="shared" si="5"/>
        <v>113.02653128660296</v>
      </c>
      <c r="H20" s="234">
        <f t="shared" si="6"/>
        <v>49.585655881148448</v>
      </c>
      <c r="I20" s="234">
        <f t="shared" si="7"/>
        <v>17.799549857629788</v>
      </c>
      <c r="J20" s="240">
        <f t="shared" si="8"/>
        <v>6.7852701114897176</v>
      </c>
      <c r="K20" s="240">
        <f t="shared" si="9"/>
        <v>2.6903772741228802</v>
      </c>
      <c r="L20" s="240">
        <f t="shared" si="10"/>
        <v>1.0566953483872743</v>
      </c>
      <c r="M20" s="239">
        <f t="shared" si="11"/>
        <v>0.29399358302615847</v>
      </c>
      <c r="N20" s="239" t="str">
        <f t="shared" si="12"/>
        <v>---</v>
      </c>
      <c r="O20" s="234" t="str">
        <f t="shared" si="13"/>
        <v>---</v>
      </c>
      <c r="P20" s="233"/>
    </row>
    <row r="21" spans="3:16" x14ac:dyDescent="0.25">
      <c r="C21" s="232">
        <v>275</v>
      </c>
      <c r="D21" s="25">
        <f t="shared" si="3"/>
        <v>1.1036464478637418</v>
      </c>
      <c r="E21" s="52">
        <f t="shared" si="4"/>
        <v>120.39858734056311</v>
      </c>
      <c r="F21" s="32">
        <f t="shared" si="2"/>
        <v>118.5940796889077</v>
      </c>
      <c r="G21" s="234">
        <f t="shared" si="5"/>
        <v>118.5940796889077</v>
      </c>
      <c r="H21" s="234">
        <f t="shared" si="6"/>
        <v>51.94642836081394</v>
      </c>
      <c r="I21" s="234">
        <f t="shared" si="7"/>
        <v>18.666368277128498</v>
      </c>
      <c r="J21" s="240">
        <f t="shared" si="8"/>
        <v>7.1159765568137301</v>
      </c>
      <c r="K21" s="240">
        <f t="shared" si="9"/>
        <v>2.8222832110817335</v>
      </c>
      <c r="L21" s="240">
        <f t="shared" si="10"/>
        <v>1.1083665018807405</v>
      </c>
      <c r="M21" s="239">
        <f t="shared" si="11"/>
        <v>0.30993412666514342</v>
      </c>
      <c r="N21" s="239" t="str">
        <f t="shared" si="12"/>
        <v>---</v>
      </c>
      <c r="O21" s="234" t="str">
        <f t="shared" si="13"/>
        <v>---</v>
      </c>
      <c r="P21" s="233"/>
    </row>
    <row r="22" spans="3:16" x14ac:dyDescent="0.25">
      <c r="C22" s="2">
        <v>300</v>
      </c>
      <c r="D22" s="25">
        <f t="shared" si="3"/>
        <v>1.203977943124082</v>
      </c>
      <c r="E22" s="52">
        <f t="shared" si="4"/>
        <v>125.80147126212326</v>
      </c>
      <c r="F22" s="32">
        <f t="shared" si="2"/>
        <v>123.91598636984722</v>
      </c>
      <c r="G22" s="234">
        <f t="shared" si="5"/>
        <v>123.91598636984722</v>
      </c>
      <c r="H22" s="234">
        <f t="shared" si="6"/>
        <v>54.199653513024053</v>
      </c>
      <c r="I22" s="234">
        <f t="shared" si="7"/>
        <v>19.494519850516042</v>
      </c>
      <c r="J22" s="240">
        <f t="shared" si="8"/>
        <v>7.4319424348078034</v>
      </c>
      <c r="K22" s="240">
        <f t="shared" si="9"/>
        <v>2.9483430076007933</v>
      </c>
      <c r="L22" s="240">
        <f t="shared" si="10"/>
        <v>1.1577417150042042</v>
      </c>
      <c r="M22" s="239">
        <f t="shared" si="11"/>
        <v>0.32524023150040404</v>
      </c>
      <c r="N22" s="239" t="str">
        <f t="shared" si="12"/>
        <v>---</v>
      </c>
      <c r="O22" s="234" t="str">
        <f t="shared" si="13"/>
        <v>---</v>
      </c>
      <c r="P22" s="233"/>
    </row>
    <row r="23" spans="3:16" x14ac:dyDescent="0.25">
      <c r="C23" s="232">
        <v>325</v>
      </c>
      <c r="D23" s="25">
        <f t="shared" si="3"/>
        <v>1.304309438384422</v>
      </c>
      <c r="E23" s="25">
        <f t="shared" si="4"/>
        <v>130.98549415996749</v>
      </c>
      <c r="F23" s="32">
        <f t="shared" si="2"/>
        <v>129.02231226814894</v>
      </c>
      <c r="G23" s="234">
        <f t="shared" si="5"/>
        <v>129.02231226814894</v>
      </c>
      <c r="H23" s="234">
        <f t="shared" si="6"/>
        <v>56.358628777359051</v>
      </c>
      <c r="I23" s="234">
        <f t="shared" si="7"/>
        <v>20.288753132314522</v>
      </c>
      <c r="J23" s="240">
        <f t="shared" si="8"/>
        <v>7.7349775361408009</v>
      </c>
      <c r="K23" s="240">
        <f t="shared" si="9"/>
        <v>3.0692731297084292</v>
      </c>
      <c r="L23" s="240">
        <f t="shared" si="10"/>
        <v>1.205102592724135</v>
      </c>
      <c r="M23" s="239">
        <f t="shared" si="11"/>
        <v>0.33998712293549044</v>
      </c>
      <c r="N23" s="239" t="str">
        <f t="shared" si="12"/>
        <v>---</v>
      </c>
      <c r="O23" s="234" t="str">
        <f t="shared" si="13"/>
        <v>---</v>
      </c>
      <c r="P23" s="233"/>
    </row>
    <row r="24" spans="3:16" x14ac:dyDescent="0.25">
      <c r="C24" s="2">
        <v>350</v>
      </c>
      <c r="D24" s="25">
        <f t="shared" si="3"/>
        <v>1.4046409336447623</v>
      </c>
      <c r="E24" s="25">
        <f t="shared" si="4"/>
        <v>135.97540957216282</v>
      </c>
      <c r="F24" s="32">
        <f t="shared" si="2"/>
        <v>133.93743992127406</v>
      </c>
      <c r="G24" s="234">
        <f t="shared" si="5"/>
        <v>133.93743992127406</v>
      </c>
      <c r="H24" s="234">
        <f t="shared" si="6"/>
        <v>58.434124769877734</v>
      </c>
      <c r="I24" s="234">
        <f t="shared" si="7"/>
        <v>21.052917875417165</v>
      </c>
      <c r="J24" s="240">
        <f t="shared" si="8"/>
        <v>8.0265491455780555</v>
      </c>
      <c r="K24" s="240">
        <f t="shared" si="9"/>
        <v>3.1856545930068041</v>
      </c>
      <c r="L24" s="240">
        <f t="shared" si="10"/>
        <v>1.2506774765812823</v>
      </c>
      <c r="M24" s="239">
        <f t="shared" si="11"/>
        <v>0.35423607158049719</v>
      </c>
      <c r="N24" s="239">
        <f t="shared" si="12"/>
        <v>0.14496708965716193</v>
      </c>
      <c r="O24" s="239">
        <f t="shared" si="13"/>
        <v>5.4238575173765985E-2</v>
      </c>
      <c r="P24" s="233"/>
    </row>
    <row r="25" spans="3:16" x14ac:dyDescent="0.25">
      <c r="C25" s="232">
        <v>375</v>
      </c>
      <c r="D25" s="25">
        <f t="shared" si="3"/>
        <v>1.5049724289051025</v>
      </c>
      <c r="E25" s="25">
        <f t="shared" si="4"/>
        <v>140.79162509329112</v>
      </c>
      <c r="F25" s="32">
        <f t="shared" si="2"/>
        <v>138.68147105924749</v>
      </c>
      <c r="G25" s="234">
        <f t="shared" si="5"/>
        <v>138.68147105924749</v>
      </c>
      <c r="H25" s="234">
        <f t="shared" si="6"/>
        <v>60.435009754599413</v>
      </c>
      <c r="I25" s="234">
        <f t="shared" si="7"/>
        <v>21.790186557184516</v>
      </c>
      <c r="J25" s="240">
        <f t="shared" si="8"/>
        <v>8.3078664504158617</v>
      </c>
      <c r="K25" s="240">
        <f t="shared" si="9"/>
        <v>3.2979663194702136</v>
      </c>
      <c r="L25" s="240">
        <f t="shared" si="10"/>
        <v>1.2946545658976047</v>
      </c>
      <c r="M25" s="239">
        <f t="shared" si="11"/>
        <v>0.36803778537623966</v>
      </c>
      <c r="N25" s="239">
        <f t="shared" si="12"/>
        <v>0.15036609751783131</v>
      </c>
      <c r="O25" s="239">
        <f t="shared" si="13"/>
        <v>5.6375145705700493E-2</v>
      </c>
      <c r="P25" s="233"/>
    </row>
    <row r="26" spans="3:16" x14ac:dyDescent="0.25">
      <c r="C26" s="2">
        <v>400</v>
      </c>
      <c r="D26" s="25">
        <f t="shared" si="3"/>
        <v>1.6053039241654425</v>
      </c>
      <c r="E26" s="25">
        <f t="shared" si="4"/>
        <v>145.45120143011684</v>
      </c>
      <c r="F26" s="32">
        <f t="shared" si="2"/>
        <v>143.27121068669811</v>
      </c>
      <c r="G26" s="234">
        <f t="shared" si="5"/>
        <v>143.27121068669811</v>
      </c>
      <c r="H26" s="234">
        <f t="shared" si="6"/>
        <v>62.368688777774615</v>
      </c>
      <c r="I26" s="234">
        <f t="shared" si="7"/>
        <v>22.503210292781276</v>
      </c>
      <c r="J26" s="240">
        <f t="shared" si="8"/>
        <v>8.5799399502593872</v>
      </c>
      <c r="K26" s="240">
        <f t="shared" si="9"/>
        <v>3.4066086205679622</v>
      </c>
      <c r="L26" s="240">
        <f t="shared" si="10"/>
        <v>1.3371911541333437</v>
      </c>
      <c r="M26" s="239">
        <f t="shared" si="11"/>
        <v>0.38143480742550984</v>
      </c>
      <c r="N26" s="239">
        <f t="shared" si="12"/>
        <v>0.15559840901751079</v>
      </c>
      <c r="O26" s="239">
        <f t="shared" si="13"/>
        <v>5.8449898666405202E-2</v>
      </c>
      <c r="P26" s="233"/>
    </row>
    <row r="27" spans="3:16" x14ac:dyDescent="0.25">
      <c r="C27" s="232">
        <v>425</v>
      </c>
      <c r="D27" s="25">
        <f t="shared" si="3"/>
        <v>1.7056354194257828</v>
      </c>
      <c r="E27" s="25">
        <f t="shared" si="4"/>
        <v>149.96857418351172</v>
      </c>
      <c r="F27" s="32">
        <f t="shared" si="2"/>
        <v>147.72087804687419</v>
      </c>
      <c r="G27" s="234">
        <f t="shared" si="5"/>
        <v>147.72087804687419</v>
      </c>
      <c r="H27" s="234">
        <f t="shared" si="6"/>
        <v>64.241420544606541</v>
      </c>
      <c r="I27" s="234">
        <f t="shared" si="7"/>
        <v>23.194231430920773</v>
      </c>
      <c r="J27" s="240">
        <f t="shared" si="8"/>
        <v>8.8436243621629025</v>
      </c>
      <c r="K27" s="240">
        <f t="shared" si="9"/>
        <v>3.5119201601299697</v>
      </c>
      <c r="L27" s="240">
        <f t="shared" si="10"/>
        <v>1.3784203000700359</v>
      </c>
      <c r="M27" s="239">
        <f t="shared" si="11"/>
        <v>0.39446325461292159</v>
      </c>
      <c r="N27" s="239">
        <f t="shared" si="12"/>
        <v>0.1606791366591111</v>
      </c>
      <c r="O27" s="239">
        <f t="shared" si="13"/>
        <v>6.0468329126244676E-2</v>
      </c>
      <c r="P27" s="233"/>
    </row>
    <row r="28" spans="3:16" x14ac:dyDescent="0.25">
      <c r="C28" s="2">
        <v>450</v>
      </c>
      <c r="D28" s="25">
        <f t="shared" si="3"/>
        <v>1.8059669146861228</v>
      </c>
      <c r="E28" s="25">
        <f t="shared" si="4"/>
        <v>154.35608699527367</v>
      </c>
      <c r="F28" s="32">
        <f t="shared" si="2"/>
        <v>152.04263177777446</v>
      </c>
      <c r="G28" s="234">
        <f t="shared" si="5"/>
        <v>152.04263177777446</v>
      </c>
      <c r="H28" s="234">
        <f t="shared" si="6"/>
        <v>66.058551219059765</v>
      </c>
      <c r="I28" s="234">
        <f t="shared" si="7"/>
        <v>23.865166691470854</v>
      </c>
      <c r="J28" s="240">
        <f t="shared" si="8"/>
        <v>9.0996503014683654</v>
      </c>
      <c r="K28" s="240">
        <f t="shared" si="9"/>
        <v>3.6141904820702169</v>
      </c>
      <c r="L28" s="240">
        <f t="shared" si="10"/>
        <v>1.4184557542984324</v>
      </c>
      <c r="M28" s="239">
        <f t="shared" si="11"/>
        <v>0.40715410616977216</v>
      </c>
      <c r="N28" s="239">
        <f t="shared" si="12"/>
        <v>0.16562122363177006</v>
      </c>
      <c r="O28" s="239">
        <f t="shared" si="13"/>
        <v>6.24351522564906E-2</v>
      </c>
      <c r="P28" s="233"/>
    </row>
    <row r="29" spans="3:16" x14ac:dyDescent="0.25">
      <c r="C29" s="232">
        <v>475</v>
      </c>
      <c r="D29" s="25">
        <f t="shared" si="3"/>
        <v>1.906298409946463</v>
      </c>
      <c r="E29" s="25">
        <f t="shared" si="4"/>
        <v>158.62439303564182</v>
      </c>
      <c r="F29" s="32">
        <f t="shared" si="2"/>
        <v>156.24696538225626</v>
      </c>
      <c r="G29" s="234">
        <f t="shared" si="5"/>
        <v>156.24696538225626</v>
      </c>
      <c r="H29" s="234">
        <f t="shared" si="6"/>
        <v>67.824690302818837</v>
      </c>
      <c r="I29" s="234">
        <f t="shared" si="7"/>
        <v>24.517669750150144</v>
      </c>
      <c r="J29" s="240">
        <f t="shared" si="8"/>
        <v>9.3486481312541958</v>
      </c>
      <c r="K29" s="240">
        <f t="shared" si="9"/>
        <v>3.7136694430404065</v>
      </c>
      <c r="L29" s="240">
        <f t="shared" si="10"/>
        <v>1.457395668273449</v>
      </c>
      <c r="M29" s="239">
        <f t="shared" si="11"/>
        <v>0.41953417708855739</v>
      </c>
      <c r="N29" s="239">
        <f t="shared" si="12"/>
        <v>0.17043585740528472</v>
      </c>
      <c r="O29" s="239">
        <f t="shared" si="13"/>
        <v>6.4354450862040682E-2</v>
      </c>
      <c r="P29" s="233"/>
    </row>
    <row r="30" spans="3:16" x14ac:dyDescent="0.25">
      <c r="C30" s="2">
        <v>500</v>
      </c>
      <c r="D30" s="25">
        <f t="shared" si="3"/>
        <v>2.0066299052068031</v>
      </c>
      <c r="E30" s="25">
        <f t="shared" si="4"/>
        <v>162.78276251991227</v>
      </c>
      <c r="F30" s="32">
        <f t="shared" si="2"/>
        <v>160.34301013565965</v>
      </c>
      <c r="G30" s="234">
        <f t="shared" si="5"/>
        <v>160.34301013565965</v>
      </c>
      <c r="H30" s="234">
        <f t="shared" si="6"/>
        <v>69.543845215922673</v>
      </c>
      <c r="I30" s="234">
        <f t="shared" si="7"/>
        <v>25.153179158822869</v>
      </c>
      <c r="J30" s="240">
        <f t="shared" si="8"/>
        <v>9.5911662239867859</v>
      </c>
      <c r="K30" s="240">
        <f t="shared" si="9"/>
        <v>3.8105744363144414</v>
      </c>
      <c r="L30" s="240">
        <f t="shared" si="10"/>
        <v>1.495325434628858</v>
      </c>
      <c r="M30" s="239">
        <f t="shared" si="11"/>
        <v>0.4316268659097996</v>
      </c>
      <c r="N30" s="239">
        <f t="shared" si="12"/>
        <v>0.17513278700260379</v>
      </c>
      <c r="O30" s="239">
        <f t="shared" si="13"/>
        <v>6.6229788758140132E-2</v>
      </c>
      <c r="P30" s="233"/>
    </row>
    <row r="31" spans="3:16" x14ac:dyDescent="0.25">
      <c r="C31" s="232">
        <v>525</v>
      </c>
      <c r="D31" s="25">
        <f t="shared" si="3"/>
        <v>2.1069614004671435</v>
      </c>
      <c r="E31" s="25">
        <f t="shared" si="4"/>
        <v>166.83932181847263</v>
      </c>
      <c r="F31" s="32">
        <f t="shared" si="2"/>
        <v>164.33877061211308</v>
      </c>
      <c r="G31" s="234">
        <f t="shared" si="5"/>
        <v>164.33877061211308</v>
      </c>
      <c r="H31" s="234">
        <f t="shared" si="6"/>
        <v>71.219525842989569</v>
      </c>
      <c r="I31" s="234">
        <f t="shared" si="7"/>
        <v>25.77295559425524</v>
      </c>
      <c r="J31" s="240">
        <f t="shared" si="8"/>
        <v>9.8276851567404329</v>
      </c>
      <c r="K31" s="240">
        <f t="shared" si="9"/>
        <v>3.9050960080040316</v>
      </c>
      <c r="L31" s="240">
        <f t="shared" si="10"/>
        <v>1.5323198952209478</v>
      </c>
      <c r="M31" s="239">
        <f t="shared" si="11"/>
        <v>0.44345273778735927</v>
      </c>
      <c r="N31" s="239">
        <f t="shared" si="12"/>
        <v>0.17972057004995429</v>
      </c>
      <c r="O31" s="239">
        <f t="shared" si="13"/>
        <v>6.8064299202487896E-2</v>
      </c>
      <c r="P31" s="233"/>
    </row>
    <row r="32" spans="3:16" x14ac:dyDescent="0.25">
      <c r="C32" s="2">
        <v>550</v>
      </c>
      <c r="D32" s="25">
        <f t="shared" si="3"/>
        <v>2.2072928957274836</v>
      </c>
      <c r="E32" s="25">
        <f t="shared" si="4"/>
        <v>170.80124188996709</v>
      </c>
      <c r="F32" s="32">
        <f t="shared" si="2"/>
        <v>168.24131029350346</v>
      </c>
      <c r="G32" s="234">
        <f t="shared" si="5"/>
        <v>168.24131029350346</v>
      </c>
      <c r="H32" s="234">
        <f t="shared" si="6"/>
        <v>72.854826849590694</v>
      </c>
      <c r="I32" s="234">
        <f t="shared" si="7"/>
        <v>26.378111203633686</v>
      </c>
      <c r="J32" s="234">
        <f t="shared" si="8"/>
        <v>10.058628894791202</v>
      </c>
      <c r="K32" s="240">
        <f t="shared" si="9"/>
        <v>3.9974022824340447</v>
      </c>
      <c r="L32" s="240">
        <f t="shared" si="10"/>
        <v>1.5684450808668322</v>
      </c>
      <c r="M32" s="239">
        <f t="shared" si="11"/>
        <v>0.45502998519210452</v>
      </c>
      <c r="N32" s="239">
        <f t="shared" si="12"/>
        <v>0.18420676773187314</v>
      </c>
      <c r="O32" s="239">
        <f t="shared" si="13"/>
        <v>6.9860754791377877E-2</v>
      </c>
      <c r="P32" s="233"/>
    </row>
    <row r="33" spans="3:16" x14ac:dyDescent="0.25">
      <c r="C33" s="232">
        <v>575</v>
      </c>
      <c r="D33" s="25">
        <f t="shared" si="3"/>
        <v>2.3076243909878236</v>
      </c>
      <c r="E33" s="25">
        <f t="shared" si="4"/>
        <v>174.67488857922859</v>
      </c>
      <c r="F33" s="32">
        <f t="shared" si="2"/>
        <v>172.05689961477603</v>
      </c>
      <c r="G33" s="234">
        <f t="shared" si="5"/>
        <v>172.05689961477603</v>
      </c>
      <c r="H33" s="234">
        <f t="shared" si="6"/>
        <v>74.452493284650188</v>
      </c>
      <c r="I33" s="234">
        <f t="shared" si="7"/>
        <v>26.969633004493435</v>
      </c>
      <c r="J33" s="234">
        <f t="shared" si="8"/>
        <v>10.284373709523351</v>
      </c>
      <c r="K33" s="240">
        <f t="shared" si="9"/>
        <v>4.0876424914970837</v>
      </c>
      <c r="L33" s="240">
        <f t="shared" si="10"/>
        <v>1.603759598740871</v>
      </c>
      <c r="M33" s="239">
        <f t="shared" si="11"/>
        <v>0.46637479629843681</v>
      </c>
      <c r="N33" s="239">
        <f t="shared" si="12"/>
        <v>0.18859810049162859</v>
      </c>
      <c r="O33" s="239">
        <f t="shared" si="13"/>
        <v>7.1621623366796935E-2</v>
      </c>
      <c r="P33" s="233"/>
    </row>
    <row r="34" spans="3:16" x14ac:dyDescent="0.25">
      <c r="C34" s="2">
        <v>600</v>
      </c>
      <c r="D34" s="25">
        <f t="shared" si="3"/>
        <v>2.407955886248164</v>
      </c>
      <c r="E34" s="25">
        <f t="shared" si="4"/>
        <v>178.46594381026043</v>
      </c>
      <c r="F34" s="32">
        <f t="shared" si="2"/>
        <v>175.79113534050174</v>
      </c>
      <c r="G34" s="234">
        <f t="shared" si="5"/>
        <v>175.79113534050174</v>
      </c>
      <c r="H34" s="234">
        <f t="shared" si="6"/>
        <v>76.014973437094014</v>
      </c>
      <c r="I34" s="234">
        <f t="shared" si="7"/>
        <v>27.548401748208818</v>
      </c>
      <c r="J34" s="234">
        <f t="shared" si="8"/>
        <v>10.505255367599922</v>
      </c>
      <c r="K34" s="240">
        <f t="shared" si="9"/>
        <v>4.1759498202395529</v>
      </c>
      <c r="L34" s="240">
        <f t="shared" si="10"/>
        <v>1.6383157509103967</v>
      </c>
      <c r="M34" s="239">
        <f t="shared" si="11"/>
        <v>0.47750165274119732</v>
      </c>
      <c r="N34" s="239">
        <f t="shared" si="12"/>
        <v>0.19290057373453964</v>
      </c>
      <c r="O34" s="239">
        <f t="shared" si="13"/>
        <v>7.3349113217663284E-2</v>
      </c>
      <c r="P34" s="233"/>
    </row>
    <row r="35" spans="3:16" x14ac:dyDescent="0.25">
      <c r="C35" s="232">
        <v>625</v>
      </c>
      <c r="D35" s="25">
        <f t="shared" si="3"/>
        <v>2.5082873815085041</v>
      </c>
      <c r="E35" s="25">
        <f t="shared" si="4"/>
        <v>182.17950428099718</v>
      </c>
      <c r="F35" s="32">
        <f t="shared" si="2"/>
        <v>179.44903778042311</v>
      </c>
      <c r="G35" s="234">
        <f t="shared" si="5"/>
        <v>179.44903778042311</v>
      </c>
      <c r="H35" s="234">
        <f t="shared" si="6"/>
        <v>77.544461847651775</v>
      </c>
      <c r="I35" s="234">
        <f t="shared" si="7"/>
        <v>28.115207277727706</v>
      </c>
      <c r="J35" s="234">
        <f t="shared" si="8"/>
        <v>10.721574984142382</v>
      </c>
      <c r="K35" s="240">
        <f t="shared" si="9"/>
        <v>4.2624437239497803</v>
      </c>
      <c r="L35" s="240">
        <f t="shared" si="10"/>
        <v>1.6721604450765095</v>
      </c>
      <c r="M35" s="239">
        <f t="shared" si="11"/>
        <v>0.48842357264812236</v>
      </c>
      <c r="N35" s="239">
        <f t="shared" si="12"/>
        <v>0.19711958031555241</v>
      </c>
      <c r="O35" s="239">
        <f t="shared" si="13"/>
        <v>7.5045209983725686E-2</v>
      </c>
      <c r="P35" s="233"/>
    </row>
    <row r="36" spans="3:16" x14ac:dyDescent="0.25">
      <c r="C36" s="2">
        <v>650</v>
      </c>
      <c r="D36" s="25">
        <f t="shared" si="3"/>
        <v>2.6086188767688441</v>
      </c>
      <c r="E36" s="25">
        <f t="shared" si="4"/>
        <v>185.82016256395099</v>
      </c>
      <c r="F36" s="32">
        <f t="shared" si="2"/>
        <v>183.03513067458152</v>
      </c>
      <c r="G36" s="234">
        <f t="shared" si="5"/>
        <v>183.03513067458152</v>
      </c>
      <c r="H36" s="234">
        <f t="shared" si="6"/>
        <v>79.04293462747934</v>
      </c>
      <c r="I36" s="234">
        <f t="shared" si="7"/>
        <v>28.670761144416467</v>
      </c>
      <c r="J36" s="234">
        <f t="shared" si="8"/>
        <v>10.933603831379699</v>
      </c>
      <c r="K36" s="240">
        <f t="shared" si="9"/>
        <v>4.3472318319915946</v>
      </c>
      <c r="L36" s="240">
        <f t="shared" si="10"/>
        <v>1.7053359428408768</v>
      </c>
      <c r="M36" s="239">
        <f t="shared" si="11"/>
        <v>0.49915231078114503</v>
      </c>
      <c r="N36" s="239">
        <f t="shared" si="12"/>
        <v>0.20125998485074501</v>
      </c>
      <c r="O36" s="239">
        <f t="shared" si="13"/>
        <v>7.6711707054535644E-2</v>
      </c>
      <c r="P36" s="233"/>
    </row>
    <row r="37" spans="3:16" x14ac:dyDescent="0.25">
      <c r="C37" s="232">
        <v>675</v>
      </c>
      <c r="D37" s="25">
        <f t="shared" si="3"/>
        <v>2.7089503720291845</v>
      </c>
      <c r="E37" s="25">
        <f t="shared" si="4"/>
        <v>189.39207430132842</v>
      </c>
      <c r="F37" s="32">
        <f t="shared" si="2"/>
        <v>186.55350738132856</v>
      </c>
      <c r="G37" s="234">
        <f t="shared" si="5"/>
        <v>186.55350738132856</v>
      </c>
      <c r="H37" s="234">
        <f t="shared" si="6"/>
        <v>80.512178700783522</v>
      </c>
      <c r="I37" s="234">
        <f t="shared" si="7"/>
        <v>29.215707059161723</v>
      </c>
      <c r="J37" s="234">
        <f t="shared" si="8"/>
        <v>11.141587321936074</v>
      </c>
      <c r="K37" s="240">
        <f t="shared" si="9"/>
        <v>4.430411525054005</v>
      </c>
      <c r="L37" s="240">
        <f t="shared" si="10"/>
        <v>1.7378804795809133</v>
      </c>
      <c r="M37" s="239">
        <f t="shared" si="11"/>
        <v>0.50969852470634491</v>
      </c>
      <c r="N37" s="239">
        <f t="shared" si="12"/>
        <v>0.20532619364758106</v>
      </c>
      <c r="O37" s="239">
        <f t="shared" si="13"/>
        <v>7.8350230814951502E-2</v>
      </c>
      <c r="P37" s="233"/>
    </row>
    <row r="38" spans="3:16" x14ac:dyDescent="0.25">
      <c r="C38" s="2">
        <v>700</v>
      </c>
      <c r="D38" s="25">
        <f t="shared" si="3"/>
        <v>2.8092818672895246</v>
      </c>
      <c r="E38" s="25">
        <f t="shared" si="4"/>
        <v>192.89901430261833</v>
      </c>
      <c r="F38" s="32">
        <f t="shared" si="2"/>
        <v>190.00788613413536</v>
      </c>
      <c r="G38" s="234">
        <f t="shared" si="5"/>
        <v>190.00788613413536</v>
      </c>
      <c r="H38" s="234">
        <f t="shared" si="6"/>
        <v>81.953816201698089</v>
      </c>
      <c r="I38" s="234">
        <f t="shared" si="7"/>
        <v>29.750629615465332</v>
      </c>
      <c r="J38" s="234">
        <f t="shared" si="8"/>
        <v>11.345748333567261</v>
      </c>
      <c r="K38" s="240">
        <f t="shared" si="9"/>
        <v>4.5120712517901573</v>
      </c>
      <c r="L38" s="240">
        <f t="shared" si="10"/>
        <v>1.7698287818751897</v>
      </c>
      <c r="M38" s="239">
        <f t="shared" si="11"/>
        <v>0.52007191379712914</v>
      </c>
      <c r="N38" s="239">
        <f t="shared" si="12"/>
        <v>0.20932221314590335</v>
      </c>
      <c r="O38" s="239">
        <f t="shared" si="13"/>
        <v>7.9962261768412563E-2</v>
      </c>
      <c r="P38" s="233"/>
    </row>
    <row r="39" spans="3:16" x14ac:dyDescent="0.25">
      <c r="C39" s="232">
        <v>725</v>
      </c>
      <c r="D39" s="25">
        <f t="shared" si="3"/>
        <v>2.9096133625498646</v>
      </c>
      <c r="E39" s="25">
        <f t="shared" si="4"/>
        <v>196.34442370609247</v>
      </c>
      <c r="F39" s="32">
        <f t="shared" si="2"/>
        <v>193.40165649624709</v>
      </c>
      <c r="G39" s="234">
        <f t="shared" si="5"/>
        <v>193.40165649624709</v>
      </c>
      <c r="H39" s="234">
        <f t="shared" si="6"/>
        <v>83.36932497175529</v>
      </c>
      <c r="I39" s="234">
        <f t="shared" si="7"/>
        <v>30.276061621401002</v>
      </c>
      <c r="J39" s="234">
        <f t="shared" si="8"/>
        <v>11.546290003719159</v>
      </c>
      <c r="K39" s="240">
        <f t="shared" si="9"/>
        <v>4.5922916356232095</v>
      </c>
      <c r="L39" s="240">
        <f t="shared" si="10"/>
        <v>1.8012125024447494</v>
      </c>
      <c r="M39" s="239">
        <f t="shared" si="11"/>
        <v>0.53028133631895014</v>
      </c>
      <c r="N39" s="239">
        <f t="shared" si="12"/>
        <v>0.21325169909806185</v>
      </c>
      <c r="O39" s="239">
        <f t="shared" si="13"/>
        <v>8.1549152333560138E-2</v>
      </c>
      <c r="P39" s="233"/>
    </row>
    <row r="40" spans="3:16" x14ac:dyDescent="0.25">
      <c r="C40" s="2">
        <v>750</v>
      </c>
      <c r="D40" s="25">
        <f t="shared" si="3"/>
        <v>3.009944857810205</v>
      </c>
      <c r="E40" s="25">
        <f t="shared" si="4"/>
        <v>199.7314498850358</v>
      </c>
      <c r="F40" s="32">
        <f t="shared" si="2"/>
        <v>196.7379186688074</v>
      </c>
      <c r="G40" s="234">
        <f t="shared" si="5"/>
        <v>196.7379186688074</v>
      </c>
      <c r="H40" s="234">
        <f t="shared" si="6"/>
        <v>84.760055893391893</v>
      </c>
      <c r="I40" s="234">
        <f t="shared" si="7"/>
        <v>30.79249030233737</v>
      </c>
      <c r="J40" s="234">
        <f t="shared" si="8"/>
        <v>11.743398093716745</v>
      </c>
      <c r="K40" s="240">
        <f t="shared" si="9"/>
        <v>4.6711464112022645</v>
      </c>
      <c r="L40" s="240">
        <f t="shared" si="10"/>
        <v>1.8320605881342074</v>
      </c>
      <c r="M40" s="239">
        <f t="shared" si="11"/>
        <v>0.54033490868470924</v>
      </c>
      <c r="N40" s="239">
        <f t="shared" si="12"/>
        <v>0.21711799822277936</v>
      </c>
      <c r="O40" s="239">
        <f t="shared" si="13"/>
        <v>8.3112141934214831E-2</v>
      </c>
      <c r="P40" s="233"/>
    </row>
    <row r="41" spans="3:16" x14ac:dyDescent="0.25">
      <c r="C41" s="232">
        <v>775</v>
      </c>
      <c r="D41" s="25">
        <f t="shared" si="3"/>
        <v>3.1102763530705451</v>
      </c>
      <c r="E41" s="25">
        <f t="shared" si="4"/>
        <v>203.06298041816586</v>
      </c>
      <c r="F41" s="32">
        <f t="shared" si="2"/>
        <v>200.01951695213666</v>
      </c>
      <c r="G41" s="234">
        <f t="shared" si="5"/>
        <v>200.01951695213666</v>
      </c>
      <c r="H41" s="234">
        <f t="shared" si="6"/>
        <v>86.127247636460481</v>
      </c>
      <c r="I41" s="234">
        <f t="shared" si="7"/>
        <v>31.300362579981392</v>
      </c>
      <c r="J41" s="234">
        <f t="shared" si="8"/>
        <v>11.937243000918373</v>
      </c>
      <c r="K41" s="240">
        <f t="shared" si="9"/>
        <v>4.748703221500266</v>
      </c>
      <c r="L41" s="240">
        <f t="shared" si="10"/>
        <v>1.8623995931173845</v>
      </c>
      <c r="M41" s="239">
        <f t="shared" si="11"/>
        <v>0.55024009009683184</v>
      </c>
      <c r="N41" s="239">
        <f t="shared" si="12"/>
        <v>0.22092418369573927</v>
      </c>
      <c r="O41" s="239">
        <f t="shared" si="13"/>
        <v>8.4652369870435465E-2</v>
      </c>
      <c r="P41" s="233"/>
    </row>
    <row r="42" spans="3:16" x14ac:dyDescent="0.25">
      <c r="C42" s="2">
        <v>800</v>
      </c>
      <c r="D42" s="25">
        <f t="shared" si="3"/>
        <v>3.2106078483308851</v>
      </c>
      <c r="E42" s="25">
        <f t="shared" si="4"/>
        <v>206.34167216912076</v>
      </c>
      <c r="F42" s="32">
        <f t="shared" si="2"/>
        <v>203.24906838938267</v>
      </c>
      <c r="G42" s="234">
        <f t="shared" si="5"/>
        <v>203.24906838938267</v>
      </c>
      <c r="H42" s="234">
        <f t="shared" si="6"/>
        <v>87.472039274378005</v>
      </c>
      <c r="I42" s="234">
        <f t="shared" si="7"/>
        <v>31.80008959048849</v>
      </c>
      <c r="J42" s="234">
        <f t="shared" si="8"/>
        <v>12.12798148085742</v>
      </c>
      <c r="K42" s="240">
        <f t="shared" si="9"/>
        <v>4.8250243000944186</v>
      </c>
      <c r="L42" s="240">
        <f t="shared" si="10"/>
        <v>1.8922539469753441</v>
      </c>
      <c r="M42" s="239">
        <f t="shared" si="11"/>
        <v>0.56000375512730782</v>
      </c>
      <c r="N42" s="239">
        <f t="shared" si="12"/>
        <v>0.22467308555723464</v>
      </c>
      <c r="O42" s="239">
        <f t="shared" si="13"/>
        <v>8.6170886357665399E-2</v>
      </c>
      <c r="P42" s="233"/>
    </row>
    <row r="43" spans="3:16" x14ac:dyDescent="0.25">
      <c r="C43" s="232">
        <v>825</v>
      </c>
      <c r="D43" s="25">
        <f t="shared" si="3"/>
        <v>3.3109393435912251</v>
      </c>
      <c r="E43" s="25">
        <f t="shared" si="4"/>
        <v>209.56997630922268</v>
      </c>
      <c r="F43" s="32">
        <f t="shared" si="2"/>
        <v>206.42898741424892</v>
      </c>
      <c r="G43" s="234">
        <f t="shared" si="5"/>
        <v>206.42898741424892</v>
      </c>
      <c r="H43" s="234">
        <f t="shared" si="6"/>
        <v>88.795481134264818</v>
      </c>
      <c r="I43" s="234">
        <f t="shared" si="7"/>
        <v>32.292050571546064</v>
      </c>
      <c r="J43" s="234">
        <f t="shared" si="8"/>
        <v>12.315758128879024</v>
      </c>
      <c r="K43" s="240">
        <f t="shared" si="9"/>
        <v>4.9001670582200649</v>
      </c>
      <c r="L43" s="240">
        <f t="shared" si="10"/>
        <v>1.921646185348473</v>
      </c>
      <c r="M43" s="239">
        <f t="shared" si="11"/>
        <v>0.56963225627609892</v>
      </c>
      <c r="N43" s="239">
        <f t="shared" si="12"/>
        <v>0.22836731690016521</v>
      </c>
      <c r="O43" s="239">
        <f t="shared" si="13"/>
        <v>8.7668662043539167E-2</v>
      </c>
      <c r="P43" s="233"/>
    </row>
    <row r="44" spans="3:16" x14ac:dyDescent="0.25">
      <c r="C44" s="2">
        <v>850</v>
      </c>
      <c r="D44" s="25">
        <f t="shared" si="3"/>
        <v>3.4112708388515656</v>
      </c>
      <c r="E44" s="25">
        <f t="shared" si="4"/>
        <v>212.75015995458995</v>
      </c>
      <c r="F44" s="32">
        <f t="shared" si="2"/>
        <v>209.56150716381399</v>
      </c>
      <c r="G44" s="234">
        <f t="shared" si="5"/>
        <v>209.56150716381399</v>
      </c>
      <c r="H44" s="234">
        <f t="shared" si="6"/>
        <v>90.098544174014037</v>
      </c>
      <c r="I44" s="234">
        <f t="shared" si="7"/>
        <v>32.776596222913575</v>
      </c>
      <c r="J44" s="234">
        <f t="shared" si="8"/>
        <v>12.500706661091336</v>
      </c>
      <c r="K44" s="240">
        <f t="shared" si="9"/>
        <v>4.974184592356675</v>
      </c>
      <c r="L44" s="240">
        <f t="shared" si="10"/>
        <v>1.9505971493574232</v>
      </c>
      <c r="M44" s="239">
        <f t="shared" si="11"/>
        <v>0.57913147815204347</v>
      </c>
      <c r="N44" s="239">
        <f t="shared" si="12"/>
        <v>0.23200929653343952</v>
      </c>
      <c r="O44" s="239">
        <f t="shared" si="13"/>
        <v>8.9146596251849466E-2</v>
      </c>
      <c r="P44" s="233"/>
    </row>
    <row r="45" spans="3:16" x14ac:dyDescent="0.25">
      <c r="C45" s="232">
        <v>875</v>
      </c>
      <c r="D45" s="25">
        <f t="shared" si="3"/>
        <v>3.5116023341119056</v>
      </c>
      <c r="E45" s="25">
        <f t="shared" si="4"/>
        <v>215.88432496128235</v>
      </c>
      <c r="F45" s="32">
        <f t="shared" si="2"/>
        <v>212.64869799197945</v>
      </c>
      <c r="G45" s="234">
        <f t="shared" si="5"/>
        <v>212.64869799197945</v>
      </c>
      <c r="H45" s="234">
        <f t="shared" si="6"/>
        <v>91.382128123496329</v>
      </c>
      <c r="I45" s="234">
        <f t="shared" si="7"/>
        <v>33.254051625053378</v>
      </c>
      <c r="J45" s="234">
        <f t="shared" si="8"/>
        <v>12.682951026886251</v>
      </c>
      <c r="K45" s="240">
        <f t="shared" si="9"/>
        <v>5.0471261251121673</v>
      </c>
      <c r="L45" s="240">
        <f t="shared" si="10"/>
        <v>1.9791261588111557</v>
      </c>
      <c r="M45" s="239">
        <f t="shared" si="11"/>
        <v>0.58850688461043044</v>
      </c>
      <c r="N45" s="239">
        <f t="shared" si="12"/>
        <v>0.23560126868437048</v>
      </c>
      <c r="O45" s="239">
        <f t="shared" si="13"/>
        <v>9.0605524156176911E-2</v>
      </c>
      <c r="P45" s="233"/>
    </row>
    <row r="46" spans="3:16" x14ac:dyDescent="0.25">
      <c r="C46" s="2">
        <v>900</v>
      </c>
      <c r="D46" s="25">
        <f t="shared" si="3"/>
        <v>3.6119338293722456</v>
      </c>
      <c r="E46" s="25">
        <f t="shared" si="4"/>
        <v>218.97442432188959</v>
      </c>
      <c r="F46" s="32">
        <f t="shared" si="2"/>
        <v>215.69248362030993</v>
      </c>
      <c r="G46" s="234">
        <f t="shared" si="5"/>
        <v>215.69248362030993</v>
      </c>
      <c r="H46" s="234">
        <f t="shared" si="6"/>
        <v>92.647068583253997</v>
      </c>
      <c r="I46" s="234">
        <f t="shared" si="7"/>
        <v>33.724718784864422</v>
      </c>
      <c r="J46" s="234">
        <f t="shared" si="8"/>
        <v>12.862606379331426</v>
      </c>
      <c r="K46" s="240">
        <f t="shared" si="9"/>
        <v>5.119037389816544</v>
      </c>
      <c r="L46" s="240">
        <f t="shared" si="10"/>
        <v>2.0072511632943724</v>
      </c>
      <c r="M46" s="239">
        <f t="shared" si="11"/>
        <v>0.59776355993704766</v>
      </c>
      <c r="N46" s="239">
        <f t="shared" si="12"/>
        <v>0.23914532020007315</v>
      </c>
      <c r="O46" s="239">
        <f t="shared" si="13"/>
        <v>9.2046223048627127E-2</v>
      </c>
      <c r="P46" s="233"/>
    </row>
    <row r="47" spans="3:16" x14ac:dyDescent="0.25">
      <c r="C47" s="232">
        <v>925</v>
      </c>
      <c r="D47" s="25">
        <f t="shared" si="3"/>
        <v>3.7122653246325861</v>
      </c>
      <c r="E47" s="25">
        <f t="shared" si="4"/>
        <v>222.02227652744793</v>
      </c>
      <c r="F47" s="32">
        <f t="shared" si="2"/>
        <v>218.69465528469641</v>
      </c>
      <c r="G47" s="234">
        <f t="shared" si="5"/>
        <v>218.69465528469641</v>
      </c>
      <c r="H47" s="234">
        <f t="shared" si="6"/>
        <v>93.894143239282229</v>
      </c>
      <c r="I47" s="234">
        <f t="shared" si="7"/>
        <v>34.188878865144545</v>
      </c>
      <c r="J47" s="234">
        <f t="shared" si="8"/>
        <v>13.039779925014841</v>
      </c>
      <c r="K47" s="240">
        <f t="shared" si="9"/>
        <v>5.1899609673679965</v>
      </c>
      <c r="L47" s="240">
        <f t="shared" si="10"/>
        <v>2.0349888744922637</v>
      </c>
      <c r="M47" s="239">
        <f t="shared" si="11"/>
        <v>0.60690624497440226</v>
      </c>
      <c r="N47" s="239">
        <f t="shared" si="12"/>
        <v>0.24264339562566761</v>
      </c>
      <c r="O47" s="239">
        <f t="shared" si="13"/>
        <v>9.3469417839676189E-2</v>
      </c>
      <c r="P47" s="233"/>
    </row>
    <row r="48" spans="3:16" x14ac:dyDescent="0.25">
      <c r="C48" s="2">
        <v>950</v>
      </c>
      <c r="D48" s="25">
        <f t="shared" si="3"/>
        <v>3.8125968198929261</v>
      </c>
      <c r="E48" s="25">
        <f t="shared" si="4"/>
        <v>225.02957819507554</v>
      </c>
      <c r="F48" s="32">
        <f t="shared" si="2"/>
        <v>221.65688417373136</v>
      </c>
      <c r="G48" s="234">
        <f t="shared" si="5"/>
        <v>221.65688417373136</v>
      </c>
      <c r="H48" s="234">
        <f t="shared" si="6"/>
        <v>95.124077324756357</v>
      </c>
      <c r="I48" s="234">
        <f t="shared" si="7"/>
        <v>34.646794144517671</v>
      </c>
      <c r="J48" s="234">
        <f t="shared" si="8"/>
        <v>13.214571671154355</v>
      </c>
      <c r="K48" s="240">
        <f t="shared" si="9"/>
        <v>5.2599365823833981</v>
      </c>
      <c r="L48" s="240">
        <f t="shared" si="10"/>
        <v>2.0623548825242981</v>
      </c>
      <c r="M48" s="239">
        <f t="shared" si="11"/>
        <v>0.61593936893060974</v>
      </c>
      <c r="N48" s="239">
        <f t="shared" si="12"/>
        <v>0.24609731047139974</v>
      </c>
      <c r="O48" s="239">
        <f t="shared" si="13"/>
        <v>9.4875785901579329E-2</v>
      </c>
      <c r="P48" s="233"/>
    </row>
    <row r="49" spans="3:16" x14ac:dyDescent="0.25">
      <c r="C49" s="232">
        <v>975</v>
      </c>
      <c r="D49" s="25">
        <f t="shared" si="3"/>
        <v>3.9129283151532661</v>
      </c>
      <c r="E49" s="25">
        <f t="shared" si="4"/>
        <v>227.99791521065393</v>
      </c>
      <c r="F49" s="32">
        <f t="shared" si="2"/>
        <v>224.58073240438611</v>
      </c>
      <c r="G49" s="234">
        <f t="shared" si="5"/>
        <v>224.58073240438611</v>
      </c>
      <c r="H49" s="234">
        <f t="shared" si="6"/>
        <v>96.337548437268723</v>
      </c>
      <c r="I49" s="234">
        <f t="shared" si="7"/>
        <v>35.09870974661284</v>
      </c>
      <c r="J49" s="234">
        <f t="shared" si="8"/>
        <v>13.387075084755134</v>
      </c>
      <c r="K49" s="240">
        <f t="shared" si="9"/>
        <v>5.3290013645061132</v>
      </c>
      <c r="L49" s="240">
        <f t="shared" si="10"/>
        <v>2.0893637585873805</v>
      </c>
      <c r="M49" s="239">
        <f t="shared" si="11"/>
        <v>0.62486707748644832</v>
      </c>
      <c r="N49" s="239">
        <f t="shared" si="12"/>
        <v>0.24950876292793184</v>
      </c>
      <c r="O49" s="239">
        <f t="shared" si="13"/>
        <v>9.6265961348832738E-2</v>
      </c>
      <c r="P49" s="233"/>
    </row>
    <row r="50" spans="3:16" x14ac:dyDescent="0.25">
      <c r="C50" s="2">
        <v>1000</v>
      </c>
      <c r="D50" s="25">
        <f t="shared" si="3"/>
        <v>4.0132598104136061</v>
      </c>
      <c r="E50" s="25">
        <f t="shared" ref="E50:E84" si="14">IF($G$15="","", IF(AND(C50&gt;=$M$4,C50&gt;=$G$15*$K$4,C50&gt;0),(C50-$G$15*$J$4)^$H$4*($I$4+C50*$L$4),"---"))</f>
        <v>230.92877259460525</v>
      </c>
      <c r="F50" s="32">
        <f t="shared" ref="F50:F71" si="15">IF($G$15="","", IF(AND(C50&gt;=$M$5,C50&gt;=$G$15*$K$5,C50&gt;0),(C50-$G$15*$J$5)^$H$5*($I$5+C50*$L$5),"---"))</f>
        <v>227.46766273992208</v>
      </c>
      <c r="G50" s="234">
        <f t="shared" si="5"/>
        <v>227.46766273992208</v>
      </c>
      <c r="H50" s="234">
        <f t="shared" si="6"/>
        <v>97.535190802122699</v>
      </c>
      <c r="I50" s="234">
        <f t="shared" si="7"/>
        <v>35.544855170853722</v>
      </c>
      <c r="J50" s="234">
        <f t="shared" si="8"/>
        <v>13.557377676147992</v>
      </c>
      <c r="K50" s="240">
        <f t="shared" si="9"/>
        <v>5.3971900797545596</v>
      </c>
      <c r="L50" s="240">
        <f t="shared" si="10"/>
        <v>2.1160291458276572</v>
      </c>
      <c r="M50" s="239">
        <f t="shared" si="11"/>
        <v>0.63369325771487883</v>
      </c>
      <c r="N50" s="239">
        <f t="shared" si="12"/>
        <v>0.25287934424628233</v>
      </c>
      <c r="O50" s="239">
        <f t="shared" si="13"/>
        <v>9.7640538833818277E-2</v>
      </c>
      <c r="P50" s="233"/>
    </row>
    <row r="51" spans="3:16" x14ac:dyDescent="0.25">
      <c r="C51" s="232">
        <v>1025</v>
      </c>
      <c r="D51" s="25">
        <f t="shared" si="3"/>
        <v>4.113591305673947</v>
      </c>
      <c r="E51" s="25">
        <f t="shared" si="14"/>
        <v>233.8235432652049</v>
      </c>
      <c r="F51" s="32">
        <f t="shared" si="15"/>
        <v>230.31904722186061</v>
      </c>
      <c r="G51" s="234">
        <f t="shared" si="5"/>
        <v>230.31904722186061</v>
      </c>
      <c r="H51" s="234">
        <f t="shared" si="6"/>
        <v>98.717599057570666</v>
      </c>
      <c r="I51" s="234">
        <f t="shared" si="7"/>
        <v>35.985445651987554</v>
      </c>
      <c r="J51" s="234">
        <f t="shared" si="8"/>
        <v>13.725561517248437</v>
      </c>
      <c r="K51" s="240">
        <f t="shared" si="9"/>
        <v>5.4645353360059872</v>
      </c>
      <c r="L51" s="240">
        <f t="shared" si="10"/>
        <v>2.1423638400500744</v>
      </c>
      <c r="M51" s="239">
        <f t="shared" si="11"/>
        <v>0.64242156024484054</v>
      </c>
      <c r="N51" s="239">
        <f t="shared" si="12"/>
        <v>0.25621054796405385</v>
      </c>
      <c r="O51" s="239">
        <f t="shared" si="13"/>
        <v>9.9000076923241809E-2</v>
      </c>
      <c r="P51" s="233"/>
    </row>
    <row r="52" spans="3:16" x14ac:dyDescent="0.25">
      <c r="C52" s="2">
        <v>1050</v>
      </c>
      <c r="D52" s="25">
        <f t="shared" si="3"/>
        <v>4.2139228009342871</v>
      </c>
      <c r="E52" s="25">
        <f t="shared" si="14"/>
        <v>236.68353584639109</v>
      </c>
      <c r="F52" s="32">
        <f t="shared" si="15"/>
        <v>233.13617486077115</v>
      </c>
      <c r="G52" s="234">
        <f t="shared" si="5"/>
        <v>233.13617486077115</v>
      </c>
      <c r="H52" s="234">
        <f t="shared" si="6"/>
        <v>99.885331625899994</v>
      </c>
      <c r="I52" s="234">
        <f t="shared" si="7"/>
        <v>36.420683371203673</v>
      </c>
      <c r="J52" s="234">
        <f t="shared" si="8"/>
        <v>13.891703703245849</v>
      </c>
      <c r="K52" s="240">
        <f t="shared" si="9"/>
        <v>5.5310677660645746</v>
      </c>
      <c r="L52" s="240">
        <f t="shared" si="10"/>
        <v>2.1683798616211498</v>
      </c>
      <c r="M52" s="239">
        <f t="shared" si="11"/>
        <v>0.65105541903357622</v>
      </c>
      <c r="N52" s="239">
        <f t="shared" si="12"/>
        <v>0.25950377813107489</v>
      </c>
      <c r="O52" s="239">
        <f t="shared" si="13"/>
        <v>0.10034510111071919</v>
      </c>
      <c r="P52" s="233"/>
    </row>
    <row r="53" spans="3:16" x14ac:dyDescent="0.25">
      <c r="C53" s="232">
        <v>1075</v>
      </c>
      <c r="D53" s="25">
        <f t="shared" si="3"/>
        <v>4.3142542961946271</v>
      </c>
      <c r="E53" s="25">
        <f t="shared" si="14"/>
        <v>239.5099816444226</v>
      </c>
      <c r="F53" s="32">
        <f t="shared" si="15"/>
        <v>235.92025850836384</v>
      </c>
      <c r="G53" s="234">
        <f t="shared" si="5"/>
        <v>235.92025850836384</v>
      </c>
      <c r="H53" s="234">
        <f t="shared" si="6"/>
        <v>101.03891372441652</v>
      </c>
      <c r="I53" s="234">
        <f t="shared" si="7"/>
        <v>36.85075853817527</v>
      </c>
      <c r="J53" s="234">
        <f t="shared" si="8"/>
        <v>14.055876765091387</v>
      </c>
      <c r="K53" s="240">
        <f t="shared" si="9"/>
        <v>5.5968161912322749</v>
      </c>
      <c r="L53" s="240">
        <f t="shared" si="10"/>
        <v>2.1940885197117916</v>
      </c>
      <c r="M53" s="239">
        <f t="shared" si="11"/>
        <v>0.65959806905610197</v>
      </c>
      <c r="N53" s="239">
        <f t="shared" si="12"/>
        <v>0.26276035666411113</v>
      </c>
      <c r="O53" s="239">
        <f t="shared" si="13"/>
        <v>0.10167610651241557</v>
      </c>
      <c r="P53" s="233"/>
    </row>
    <row r="54" spans="3:16" x14ac:dyDescent="0.25">
      <c r="C54" s="2">
        <v>1100</v>
      </c>
      <c r="D54" s="25">
        <f t="shared" si="3"/>
        <v>4.4145857914549671</v>
      </c>
      <c r="E54" s="25">
        <f t="shared" si="14"/>
        <v>242.30404089904502</v>
      </c>
      <c r="F54" s="32">
        <f t="shared" si="15"/>
        <v>238.6724410149653</v>
      </c>
      <c r="G54" s="234">
        <f t="shared" si="5"/>
        <v>238.6724410149653</v>
      </c>
      <c r="H54" s="234">
        <f t="shared" si="6"/>
        <v>102.17884006223279</v>
      </c>
      <c r="I54" s="234">
        <f t="shared" si="7"/>
        <v>37.275850360448509</v>
      </c>
      <c r="J54" s="234">
        <f t="shared" si="8"/>
        <v>14.218149039045086</v>
      </c>
      <c r="K54" s="240">
        <f t="shared" si="9"/>
        <v>5.6618077678619461</v>
      </c>
      <c r="L54" s="240">
        <f t="shared" si="10"/>
        <v>2.2195004698545659</v>
      </c>
      <c r="M54" s="239">
        <f t="shared" si="11"/>
        <v>0.6680525621743767</v>
      </c>
      <c r="N54" s="239">
        <f t="shared" si="12"/>
        <v>0.26598152994088287</v>
      </c>
      <c r="O54" s="239">
        <f t="shared" si="13"/>
        <v>0.10299356028565024</v>
      </c>
      <c r="P54" s="233"/>
    </row>
    <row r="55" spans="3:16" x14ac:dyDescent="0.25">
      <c r="C55" s="232">
        <v>1125</v>
      </c>
      <c r="D55" s="25">
        <f t="shared" si="3"/>
        <v>4.5149172867153071</v>
      </c>
      <c r="E55" s="25">
        <f t="shared" si="14"/>
        <v>245.06680839931516</v>
      </c>
      <c r="F55" s="32">
        <f t="shared" si="15"/>
        <v>241.39380076117368</v>
      </c>
      <c r="G55" s="234">
        <f t="shared" si="5"/>
        <v>241.39380076117368</v>
      </c>
      <c r="H55" s="234">
        <f t="shared" si="6"/>
        <v>103.30557726201218</v>
      </c>
      <c r="I55" s="234">
        <f t="shared" si="7"/>
        <v>37.696127914190619</v>
      </c>
      <c r="J55" s="234">
        <f t="shared" si="8"/>
        <v>14.378584998622385</v>
      </c>
      <c r="K55" s="240">
        <f t="shared" si="9"/>
        <v>5.7260681190082048</v>
      </c>
      <c r="L55" s="240">
        <f t="shared" si="10"/>
        <v>2.2446257656466155</v>
      </c>
      <c r="M55" s="239">
        <f t="shared" si="11"/>
        <v>0.67642178141044285</v>
      </c>
      <c r="N55" s="239">
        <f t="shared" si="12"/>
        <v>0.269168474727499</v>
      </c>
      <c r="O55" s="239">
        <f t="shared" si="13"/>
        <v>0.10429790380456366</v>
      </c>
      <c r="P55" s="233"/>
    </row>
    <row r="56" spans="3:16" x14ac:dyDescent="0.25">
      <c r="C56" s="2">
        <v>1150</v>
      </c>
      <c r="D56" s="25">
        <f t="shared" si="3"/>
        <v>4.6152487819756471</v>
      </c>
      <c r="E56" s="25">
        <f t="shared" si="14"/>
        <v>247.79931854127639</v>
      </c>
      <c r="F56" s="32">
        <f t="shared" si="15"/>
        <v>244.08535663973106</v>
      </c>
      <c r="G56" s="234">
        <f t="shared" si="5"/>
        <v>244.08535663973106</v>
      </c>
      <c r="H56" s="234">
        <f t="shared" si="6"/>
        <v>104.4195660401803</v>
      </c>
      <c r="I56" s="234">
        <f t="shared" si="7"/>
        <v>38.111750928293333</v>
      </c>
      <c r="J56" s="234">
        <f t="shared" si="8"/>
        <v>14.537245553512918</v>
      </c>
      <c r="K56" s="240">
        <f t="shared" si="9"/>
        <v>5.7896214529873511</v>
      </c>
      <c r="L56" s="240">
        <f t="shared" si="10"/>
        <v>2.2694739053100164</v>
      </c>
      <c r="M56" s="239">
        <f t="shared" si="11"/>
        <v>0.68470845381582524</v>
      </c>
      <c r="N56" s="239">
        <f t="shared" si="12"/>
        <v>0.27232230351994829</v>
      </c>
      <c r="O56" s="239">
        <f t="shared" si="13"/>
        <v>0.10558955462208576</v>
      </c>
      <c r="P56" s="233"/>
    </row>
    <row r="57" spans="3:16" x14ac:dyDescent="0.25">
      <c r="C57" s="232">
        <v>1175</v>
      </c>
      <c r="D57" s="25">
        <f t="shared" si="3"/>
        <v>4.7155802772359872</v>
      </c>
      <c r="E57" s="25">
        <f t="shared" si="14"/>
        <v>250.50254989383868</v>
      </c>
      <c r="F57" s="32">
        <f t="shared" si="15"/>
        <v>246.748072552971</v>
      </c>
      <c r="G57" s="234">
        <f t="shared" si="5"/>
        <v>246.748072552971</v>
      </c>
      <c r="H57" s="234">
        <f t="shared" si="6"/>
        <v>105.52122317439924</v>
      </c>
      <c r="I57" s="234">
        <f t="shared" si="7"/>
        <v>38.522870492141656</v>
      </c>
      <c r="J57" s="234">
        <f t="shared" si="8"/>
        <v>14.694188319401068</v>
      </c>
      <c r="K57" s="240">
        <f t="shared" si="9"/>
        <v>5.8524906704031991</v>
      </c>
      <c r="L57" s="240">
        <f t="shared" si="10"/>
        <v>2.2940538737212668</v>
      </c>
      <c r="M57" s="239">
        <f t="shared" si="11"/>
        <v>0.69291516210264781</v>
      </c>
      <c r="N57" s="239">
        <f t="shared" si="12"/>
        <v>0.27544406936899696</v>
      </c>
      <c r="O57" s="239">
        <f t="shared" si="13"/>
        <v>0.10686890824336676</v>
      </c>
      <c r="P57" s="233"/>
    </row>
    <row r="58" spans="3:16" x14ac:dyDescent="0.25">
      <c r="C58" s="2">
        <v>1200</v>
      </c>
      <c r="D58" s="25">
        <f t="shared" si="3"/>
        <v>4.8159117724963281</v>
      </c>
      <c r="E58" s="25">
        <f t="shared" si="14"/>
        <v>253.1774293300858</v>
      </c>
      <c r="F58" s="32">
        <f t="shared" si="15"/>
        <v>249.38286148220652</v>
      </c>
      <c r="G58" s="234">
        <f t="shared" si="5"/>
        <v>249.38286148220652</v>
      </c>
      <c r="H58" s="234">
        <f t="shared" si="6"/>
        <v>106.61094328312635</v>
      </c>
      <c r="I58" s="234">
        <f t="shared" si="7"/>
        <v>38.929629695938665</v>
      </c>
      <c r="J58" s="234">
        <f t="shared" si="8"/>
        <v>14.849467862077297</v>
      </c>
      <c r="K58" s="240">
        <f t="shared" si="9"/>
        <v>5.9146974609814249</v>
      </c>
      <c r="L58" s="240">
        <f t="shared" si="10"/>
        <v>2.3183741804374303</v>
      </c>
      <c r="M58" s="239">
        <f t="shared" si="11"/>
        <v>0.70104435517932429</v>
      </c>
      <c r="N58" s="239">
        <f t="shared" si="12"/>
        <v>0.27853477024834178</v>
      </c>
      <c r="O58" s="239">
        <f t="shared" si="13"/>
        <v>0.10813633973240085</v>
      </c>
      <c r="P58" s="233"/>
    </row>
    <row r="59" spans="3:16" x14ac:dyDescent="0.25">
      <c r="C59" s="232">
        <v>1225</v>
      </c>
      <c r="D59" s="25">
        <f t="shared" si="3"/>
        <v>4.9162432677566681</v>
      </c>
      <c r="E59" s="25">
        <f t="shared" si="14"/>
        <v>255.82483577352653</v>
      </c>
      <c r="F59" s="32">
        <f t="shared" si="15"/>
        <v>251.99058917783339</v>
      </c>
      <c r="G59" s="234">
        <f t="shared" si="5"/>
        <v>251.99058917783339</v>
      </c>
      <c r="H59" s="234">
        <f t="shared" si="6"/>
        <v>107.68910043873076</v>
      </c>
      <c r="I59" s="234">
        <f t="shared" si="7"/>
        <v>39.332164211278361</v>
      </c>
      <c r="J59" s="234">
        <f t="shared" si="8"/>
        <v>15.003135918772095</v>
      </c>
      <c r="K59" s="240">
        <f t="shared" si="9"/>
        <v>5.9762623913741244</v>
      </c>
      <c r="L59" s="240">
        <f t="shared" si="10"/>
        <v>2.3424428941753743</v>
      </c>
      <c r="M59" s="239">
        <f t="shared" si="11"/>
        <v>0.7090983577145864</v>
      </c>
      <c r="N59" s="239">
        <f t="shared" si="12"/>
        <v>0.28159535301783239</v>
      </c>
      <c r="O59" s="239">
        <f t="shared" si="13"/>
        <v>0.10939220517066764</v>
      </c>
      <c r="P59" s="233"/>
    </row>
    <row r="60" spans="3:16" x14ac:dyDescent="0.25">
      <c r="C60" s="2">
        <v>1250</v>
      </c>
      <c r="D60" s="25">
        <f t="shared" si="3"/>
        <v>5.0165747630170081</v>
      </c>
      <c r="E60" s="25">
        <f t="shared" si="14"/>
        <v>258.44560360227376</v>
      </c>
      <c r="F60" s="32">
        <f t="shared" si="15"/>
        <v>254.57207751248816</v>
      </c>
      <c r="G60" s="234">
        <f t="shared" si="5"/>
        <v>254.57207751248816</v>
      </c>
      <c r="H60" s="234">
        <f t="shared" si="6"/>
        <v>108.75604963279987</v>
      </c>
      <c r="I60" s="234">
        <f t="shared" si="7"/>
        <v>39.730602818643163</v>
      </c>
      <c r="J60" s="234">
        <f t="shared" si="8"/>
        <v>15.155241599257577</v>
      </c>
      <c r="K60" s="240">
        <f t="shared" si="9"/>
        <v>6.0372049849429823</v>
      </c>
      <c r="L60" s="240">
        <f t="shared" si="10"/>
        <v>2.3662676741402864</v>
      </c>
      <c r="M60" s="239">
        <f t="shared" si="11"/>
        <v>0.71707937883739004</v>
      </c>
      <c r="N60" s="239">
        <f t="shared" si="12"/>
        <v>0.28462671702676762</v>
      </c>
      <c r="O60" s="239">
        <f t="shared" si="13"/>
        <v>0.11063684298415362</v>
      </c>
      <c r="P60" s="233"/>
    </row>
    <row r="61" spans="3:16" x14ac:dyDescent="0.25">
      <c r="C61" s="232">
        <v>1275</v>
      </c>
      <c r="D61" s="25">
        <f t="shared" si="3"/>
        <v>5.1169062582773481</v>
      </c>
      <c r="E61" s="25">
        <f t="shared" si="14"/>
        <v>261.0405257485761</v>
      </c>
      <c r="F61" s="32">
        <f t="shared" si="15"/>
        <v>257.12810753412452</v>
      </c>
      <c r="G61" s="234">
        <f t="shared" si="5"/>
        <v>257.12810753412452</v>
      </c>
      <c r="H61" s="234">
        <f t="shared" si="6"/>
        <v>109.81212810985264</v>
      </c>
      <c r="I61" s="234">
        <f t="shared" si="7"/>
        <v>40.125067887638188</v>
      </c>
      <c r="J61" s="234">
        <f t="shared" si="8"/>
        <v>15.305831568932094</v>
      </c>
      <c r="K61" s="240">
        <f t="shared" si="9"/>
        <v>6.097543794398967</v>
      </c>
      <c r="L61" s="240">
        <f t="shared" si="10"/>
        <v>2.3898557985483895</v>
      </c>
      <c r="M61" s="239">
        <f t="shared" si="11"/>
        <v>0.72498952006643458</v>
      </c>
      <c r="N61" s="239">
        <f t="shared" si="12"/>
        <v>0.28762971739647275</v>
      </c>
      <c r="O61" s="239">
        <f t="shared" si="13"/>
        <v>0.11187057515301541</v>
      </c>
      <c r="P61" s="233"/>
    </row>
    <row r="62" spans="3:16" x14ac:dyDescent="0.25">
      <c r="C62" s="2">
        <v>1300</v>
      </c>
      <c r="D62" s="25">
        <f t="shared" si="3"/>
        <v>5.2172377535376881</v>
      </c>
      <c r="E62" s="25">
        <f t="shared" si="14"/>
        <v>263.61035652638054</v>
      </c>
      <c r="F62" s="32">
        <f t="shared" si="15"/>
        <v>259.65942225119738</v>
      </c>
      <c r="G62" s="234">
        <f t="shared" si="5"/>
        <v>259.65942225119738</v>
      </c>
      <c r="H62" s="234">
        <f t="shared" si="6"/>
        <v>110.85765658361609</v>
      </c>
      <c r="I62" s="234">
        <f t="shared" si="7"/>
        <v>40.515675815037447</v>
      </c>
      <c r="J62" s="234">
        <f t="shared" si="8"/>
        <v>15.45495021582242</v>
      </c>
      <c r="K62" s="240">
        <f t="shared" si="9"/>
        <v>6.1572964680651516</v>
      </c>
      <c r="L62" s="240">
        <f t="shared" si="10"/>
        <v>2.4132141906450135</v>
      </c>
      <c r="M62" s="239">
        <f t="shared" si="11"/>
        <v>0.73283078255123035</v>
      </c>
      <c r="N62" s="239">
        <f t="shared" si="12"/>
        <v>0.29060516801640601</v>
      </c>
      <c r="O62" s="239">
        <f t="shared" si="13"/>
        <v>0.1130937083163545</v>
      </c>
      <c r="P62" s="233"/>
    </row>
    <row r="63" spans="3:16" x14ac:dyDescent="0.25">
      <c r="C63" s="232">
        <v>1325</v>
      </c>
      <c r="D63" s="25">
        <f t="shared" si="3"/>
        <v>5.3175692487980282</v>
      </c>
      <c r="E63" s="25">
        <f t="shared" si="14"/>
        <v>266.15581421554214</v>
      </c>
      <c r="F63" s="32">
        <f t="shared" si="15"/>
        <v>262.16672917814066</v>
      </c>
      <c r="G63" s="234">
        <f t="shared" si="5"/>
        <v>262.16672917814066</v>
      </c>
      <c r="H63" s="234">
        <f t="shared" si="6"/>
        <v>111.89294034825576</v>
      </c>
      <c r="I63" s="234">
        <f t="shared" si="7"/>
        <v>40.902537425084617</v>
      </c>
      <c r="J63" s="234">
        <f t="shared" si="8"/>
        <v>15.602639803196929</v>
      </c>
      <c r="K63" s="240">
        <f t="shared" si="9"/>
        <v>6.2164798104338477</v>
      </c>
      <c r="L63" s="240">
        <f t="shared" si="10"/>
        <v>2.4363494424817103</v>
      </c>
      <c r="M63" s="239">
        <f t="shared" si="11"/>
        <v>0.74060507369653461</v>
      </c>
      <c r="N63" s="239">
        <f t="shared" si="12"/>
        <v>0.29355384428380776</v>
      </c>
      <c r="O63" s="239">
        <f t="shared" si="13"/>
        <v>0.11430653478303254</v>
      </c>
      <c r="P63" s="233"/>
    </row>
    <row r="64" spans="3:16" x14ac:dyDescent="0.25">
      <c r="C64" s="2">
        <v>1350</v>
      </c>
      <c r="D64" s="25">
        <f t="shared" si="3"/>
        <v>5.4179007440583691</v>
      </c>
      <c r="E64" s="25">
        <f t="shared" si="14"/>
        <v>268.67758342780348</v>
      </c>
      <c r="F64" s="32">
        <f t="shared" si="15"/>
        <v>264.650702665886</v>
      </c>
      <c r="G64" s="234">
        <f t="shared" si="5"/>
        <v>264.650702665886</v>
      </c>
      <c r="H64" s="234">
        <f t="shared" si="6"/>
        <v>112.91827029543599</v>
      </c>
      <c r="I64" s="234">
        <f t="shared" si="7"/>
        <v>41.285758335949112</v>
      </c>
      <c r="J64" s="234">
        <f t="shared" si="8"/>
        <v>15.748940609276808</v>
      </c>
      <c r="K64" s="240">
        <f t="shared" si="9"/>
        <v>6.2751098376073271</v>
      </c>
      <c r="L64" s="240">
        <f t="shared" si="10"/>
        <v>2.4592678366839231</v>
      </c>
      <c r="M64" s="239">
        <f t="shared" si="11"/>
        <v>0.7483142132332643</v>
      </c>
      <c r="N64" s="239">
        <f t="shared" si="12"/>
        <v>0.29647648561324796</v>
      </c>
      <c r="O64" s="239">
        <f t="shared" si="13"/>
        <v>0.11550933345813567</v>
      </c>
      <c r="P64" s="233"/>
    </row>
    <row r="65" spans="3:16" x14ac:dyDescent="0.25">
      <c r="C65" s="232">
        <v>1375</v>
      </c>
      <c r="D65" s="25">
        <f t="shared" si="3"/>
        <v>5.5182322393187091</v>
      </c>
      <c r="E65" s="25">
        <f t="shared" si="14"/>
        <v>271.1763172766573</v>
      </c>
      <c r="F65" s="32">
        <f t="shared" si="15"/>
        <v>267.11198603920428</v>
      </c>
      <c r="G65" s="234">
        <f t="shared" si="5"/>
        <v>267.11198603920428</v>
      </c>
      <c r="H65" s="234">
        <f t="shared" si="6"/>
        <v>113.93392384677909</v>
      </c>
      <c r="I65" s="234">
        <f t="shared" si="7"/>
        <v>41.665439295770376</v>
      </c>
      <c r="J65" s="234">
        <f t="shared" si="8"/>
        <v>15.893891055353679</v>
      </c>
      <c r="K65" s="240">
        <f t="shared" si="9"/>
        <v>6.3332018281408109</v>
      </c>
      <c r="L65" s="240">
        <f t="shared" si="10"/>
        <v>2.4819753664129292</v>
      </c>
      <c r="M65" s="239">
        <f t="shared" si="11"/>
        <v>0.7559599387915048</v>
      </c>
      <c r="N65" s="239">
        <f t="shared" si="12"/>
        <v>0.29937379773928829</v>
      </c>
      <c r="O65" s="239">
        <f t="shared" si="13"/>
        <v>0.11670237069355227</v>
      </c>
      <c r="P65" s="233"/>
    </row>
    <row r="66" spans="3:16" x14ac:dyDescent="0.25">
      <c r="C66" s="2">
        <v>1400</v>
      </c>
      <c r="D66" s="25">
        <f t="shared" si="3"/>
        <v>5.6185637345790491</v>
      </c>
      <c r="E66" s="25">
        <f t="shared" si="14"/>
        <v>273.65263937060786</v>
      </c>
      <c r="F66" s="32">
        <f t="shared" si="15"/>
        <v>269.5511935600922</v>
      </c>
      <c r="G66" s="234">
        <f t="shared" si="5"/>
        <v>269.5511935600922</v>
      </c>
      <c r="H66" s="234">
        <f t="shared" si="6"/>
        <v>114.94016581016666</v>
      </c>
      <c r="I66" s="234">
        <f t="shared" si="7"/>
        <v>42.041676491319329</v>
      </c>
      <c r="J66" s="234">
        <f t="shared" si="8"/>
        <v>16.037527823468363</v>
      </c>
      <c r="K66" s="240">
        <f t="shared" si="9"/>
        <v>6.3907703697453915</v>
      </c>
      <c r="L66" s="240">
        <f t="shared" si="10"/>
        <v>2.5044777537018734</v>
      </c>
      <c r="M66" s="239">
        <f t="shared" si="11"/>
        <v>0.76354391102472818</v>
      </c>
      <c r="N66" s="239">
        <f t="shared" si="12"/>
        <v>0.30224645483275281</v>
      </c>
      <c r="O66" s="239">
        <f t="shared" si="13"/>
        <v>0.11788590107014371</v>
      </c>
      <c r="P66" s="233"/>
    </row>
    <row r="67" spans="3:16" x14ac:dyDescent="0.25">
      <c r="C67" s="232">
        <v>1425</v>
      </c>
      <c r="D67" s="25">
        <f t="shared" si="3"/>
        <v>5.7188952298393891</v>
      </c>
      <c r="E67" s="25">
        <f t="shared" si="14"/>
        <v>276.10714564708621</v>
      </c>
      <c r="F67" s="32">
        <f t="shared" si="15"/>
        <v>271.96891223420101</v>
      </c>
      <c r="G67" s="234">
        <f t="shared" si="5"/>
        <v>271.96891223420101</v>
      </c>
      <c r="H67" s="234">
        <f t="shared" si="6"/>
        <v>115.93724916734469</v>
      </c>
      <c r="I67" s="234">
        <f t="shared" si="7"/>
        <v>42.414561831955204</v>
      </c>
      <c r="J67" s="234">
        <f t="shared" si="8"/>
        <v>16.179885964671737</v>
      </c>
      <c r="K67" s="240">
        <f t="shared" si="9"/>
        <v>6.4478294022555698</v>
      </c>
      <c r="L67" s="240">
        <f t="shared" si="10"/>
        <v>2.5267804663248543</v>
      </c>
      <c r="M67" s="239">
        <f t="shared" si="11"/>
        <v>0.77106771832870313</v>
      </c>
      <c r="N67" s="239">
        <f t="shared" si="12"/>
        <v>0.30509510144874097</v>
      </c>
      <c r="O67" s="239">
        <f t="shared" si="13"/>
        <v>0.11906016811812757</v>
      </c>
      <c r="P67" s="233"/>
    </row>
    <row r="68" spans="3:16" x14ac:dyDescent="0.25">
      <c r="C68" s="2">
        <v>1450</v>
      </c>
      <c r="D68" s="25">
        <f t="shared" si="3"/>
        <v>5.8192267250997292</v>
      </c>
      <c r="E68" s="25">
        <f t="shared" si="14"/>
        <v>278.54040606232297</v>
      </c>
      <c r="F68" s="32">
        <f t="shared" si="15"/>
        <v>274.36570347538213</v>
      </c>
      <c r="G68" s="234">
        <f t="shared" si="5"/>
        <v>274.36570347538213</v>
      </c>
      <c r="H68" s="234">
        <f t="shared" si="6"/>
        <v>116.92541579944964</v>
      </c>
      <c r="I68" s="234">
        <f t="shared" si="7"/>
        <v>42.784183211252738</v>
      </c>
      <c r="J68" s="234">
        <f t="shared" si="8"/>
        <v>16.320998998772907</v>
      </c>
      <c r="K68" s="240">
        <f t="shared" si="9"/>
        <v>6.504392257220343</v>
      </c>
      <c r="L68" s="240">
        <f t="shared" si="10"/>
        <v>2.5488887333400165</v>
      </c>
      <c r="M68" s="239">
        <f t="shared" si="11"/>
        <v>0.77853288119368058</v>
      </c>
      <c r="N68" s="239">
        <f t="shared" si="12"/>
        <v>0.30792035432246984</v>
      </c>
      <c r="O68" s="239">
        <f t="shared" si="13"/>
        <v>0.12022540498155053</v>
      </c>
      <c r="P68" s="233"/>
    </row>
    <row r="69" spans="3:16" x14ac:dyDescent="0.25">
      <c r="C69" s="232">
        <v>1475</v>
      </c>
      <c r="D69" s="25">
        <f t="shared" si="3"/>
        <v>5.9195582203600692</v>
      </c>
      <c r="E69" s="25">
        <f t="shared" si="14"/>
        <v>280.95296615077126</v>
      </c>
      <c r="F69" s="32">
        <f t="shared" si="15"/>
        <v>276.74210464173808</v>
      </c>
      <c r="G69" s="234">
        <f t="shared" si="5"/>
        <v>276.74210464173808</v>
      </c>
      <c r="H69" s="234">
        <f t="shared" si="6"/>
        <v>117.9048971563296</v>
      </c>
      <c r="I69" s="234">
        <f t="shared" si="7"/>
        <v>43.150624748408859</v>
      </c>
      <c r="J69" s="234">
        <f t="shared" si="8"/>
        <v>16.46089900637876</v>
      </c>
      <c r="K69" s="240">
        <f t="shared" si="9"/>
        <v>6.5604716944365125</v>
      </c>
      <c r="L69" s="240">
        <f t="shared" si="10"/>
        <v>2.5708075594318909</v>
      </c>
      <c r="M69" s="239">
        <f t="shared" si="11"/>
        <v>0.78594085622417142</v>
      </c>
      <c r="N69" s="239">
        <f t="shared" si="12"/>
        <v>0.31072280402724201</v>
      </c>
      <c r="O69" s="239">
        <f t="shared" si="13"/>
        <v>0.12138183503207561</v>
      </c>
      <c r="P69" s="233"/>
    </row>
    <row r="70" spans="3:16" x14ac:dyDescent="0.25">
      <c r="C70" s="2">
        <v>1500</v>
      </c>
      <c r="D70" s="25">
        <f t="shared" si="3"/>
        <v>6.0198897156204101</v>
      </c>
      <c r="E70" s="25">
        <f t="shared" si="14"/>
        <v>283.34534846618158</v>
      </c>
      <c r="F70" s="32">
        <f t="shared" si="15"/>
        <v>279.09863045509798</v>
      </c>
      <c r="G70" s="234">
        <f t="shared" si="5"/>
        <v>279.09863045509798</v>
      </c>
      <c r="H70" s="234">
        <f t="shared" si="6"/>
        <v>118.87591487489016</v>
      </c>
      <c r="I70" s="234">
        <f t="shared" si="7"/>
        <v>43.513967011306462</v>
      </c>
      <c r="J70" s="234">
        <f t="shared" si="8"/>
        <v>16.599616713940673</v>
      </c>
      <c r="K70" s="240">
        <f t="shared" si="9"/>
        <v>6.616079935708048</v>
      </c>
      <c r="L70" s="240">
        <f t="shared" si="10"/>
        <v>2.5925417381644031</v>
      </c>
      <c r="M70" s="239">
        <f t="shared" si="11"/>
        <v>0.79329303985688504</v>
      </c>
      <c r="N70" s="239">
        <f t="shared" si="12"/>
        <v>0.31350301650727253</v>
      </c>
      <c r="O70" s="239">
        <f t="shared" si="13"/>
        <v>0.12252967243674186</v>
      </c>
      <c r="P70" s="233"/>
    </row>
    <row r="71" spans="3:16" x14ac:dyDescent="0.25">
      <c r="C71" s="232">
        <v>1525</v>
      </c>
      <c r="D71" s="25">
        <f t="shared" si="3"/>
        <v>6.1202212108807501</v>
      </c>
      <c r="E71" s="25">
        <f t="shared" si="14"/>
        <v>285.71805391512697</v>
      </c>
      <c r="F71" s="32">
        <f t="shared" si="15"/>
        <v>281.43577431455697</v>
      </c>
      <c r="G71" s="234">
        <f t="shared" si="5"/>
        <v>281.43577431455697</v>
      </c>
      <c r="H71" s="234">
        <f t="shared" si="6"/>
        <v>119.83868135112913</v>
      </c>
      <c r="I71" s="234">
        <f t="shared" si="7"/>
        <v>43.874287222910702</v>
      </c>
      <c r="J71" s="234">
        <f t="shared" si="8"/>
        <v>16.737181572446932</v>
      </c>
      <c r="K71" s="240">
        <f t="shared" si="9"/>
        <v>6.6712286960846985</v>
      </c>
      <c r="L71" s="240">
        <f t="shared" si="10"/>
        <v>2.6140958642440402</v>
      </c>
      <c r="M71" s="239">
        <f t="shared" si="11"/>
        <v>0.80059077180413274</v>
      </c>
      <c r="N71" s="239">
        <f t="shared" si="12"/>
        <v>0.31626153449674382</v>
      </c>
      <c r="O71" s="239">
        <f t="shared" si="13"/>
        <v>0.12366912268385366</v>
      </c>
      <c r="P71" s="233"/>
    </row>
    <row r="72" spans="3:16" x14ac:dyDescent="0.25">
      <c r="C72" s="2">
        <v>1550</v>
      </c>
      <c r="D72" s="25">
        <f t="shared" si="3"/>
        <v>6.2205527061410901</v>
      </c>
      <c r="E72" s="25">
        <f t="shared" si="14"/>
        <v>288.07156299263107</v>
      </c>
      <c r="F72" s="242"/>
      <c r="G72" s="234">
        <f t="shared" si="5"/>
        <v>283.75400951358449</v>
      </c>
      <c r="H72" s="234">
        <f t="shared" si="6"/>
        <v>120.79340027002837</v>
      </c>
      <c r="I72" s="234">
        <f t="shared" si="7"/>
        <v>44.231659452495002</v>
      </c>
      <c r="J72" s="234">
        <f t="shared" si="8"/>
        <v>16.873621830331818</v>
      </c>
      <c r="K72" s="240">
        <f t="shared" si="9"/>
        <v>6.7259292128061832</v>
      </c>
      <c r="L72" s="240">
        <f t="shared" si="10"/>
        <v>2.6354743448820503</v>
      </c>
      <c r="M72" s="239">
        <f t="shared" si="11"/>
        <v>0.80783533824712583</v>
      </c>
      <c r="N72" s="239">
        <f t="shared" si="12"/>
        <v>0.31899887883525296</v>
      </c>
      <c r="O72" s="239">
        <f t="shared" si="13"/>
        <v>0.12480038307072369</v>
      </c>
      <c r="P72" s="233"/>
    </row>
    <row r="73" spans="3:16" x14ac:dyDescent="0.25">
      <c r="C73" s="232">
        <v>1575</v>
      </c>
      <c r="D73" s="25">
        <f t="shared" si="3"/>
        <v>6.3208842014014301</v>
      </c>
      <c r="E73" s="25">
        <f t="shared" si="14"/>
        <v>290.40633692854232</v>
      </c>
      <c r="F73" s="242"/>
      <c r="G73" s="234">
        <f t="shared" si="5"/>
        <v>286.05379036921721</v>
      </c>
      <c r="H73" s="234">
        <f t="shared" si="6"/>
        <v>121.74026709703473</v>
      </c>
      <c r="I73" s="234">
        <f t="shared" si="7"/>
        <v>44.586154793037807</v>
      </c>
      <c r="J73" s="234">
        <f t="shared" si="8"/>
        <v>17.008964601112307</v>
      </c>
      <c r="K73" s="240">
        <f t="shared" si="9"/>
        <v>6.7801922721546042</v>
      </c>
      <c r="L73" s="240">
        <f t="shared" si="10"/>
        <v>2.6566814103352829</v>
      </c>
      <c r="M73" s="239">
        <f t="shared" si="11"/>
        <v>0.81502797480105904</v>
      </c>
      <c r="N73" s="239">
        <f t="shared" si="12"/>
        <v>0.32171554968876021</v>
      </c>
      <c r="O73" s="239">
        <f t="shared" si="13"/>
        <v>0.12592364315660295</v>
      </c>
      <c r="P73" s="233"/>
    </row>
    <row r="74" spans="3:16" x14ac:dyDescent="0.25">
      <c r="C74" s="2">
        <v>1600</v>
      </c>
      <c r="D74" s="25">
        <f t="shared" si="3"/>
        <v>6.4212156966617702</v>
      </c>
      <c r="E74" s="25">
        <f t="shared" si="14"/>
        <v>292.72281875241367</v>
      </c>
      <c r="F74" s="242"/>
      <c r="G74" s="234">
        <f t="shared" si="5"/>
        <v>288.33555327097798</v>
      </c>
      <c r="H74" s="234">
        <f t="shared" si="6"/>
        <v>122.67946953447785</v>
      </c>
      <c r="I74" s="234">
        <f t="shared" si="7"/>
        <v>44.937841525992802</v>
      </c>
      <c r="J74" s="234">
        <f t="shared" si="8"/>
        <v>17.143235926211091</v>
      </c>
      <c r="K74" s="240">
        <f t="shared" si="9"/>
        <v>6.8340282343969898</v>
      </c>
      <c r="L74" s="240">
        <f t="shared" si="10"/>
        <v>2.6777211236971064</v>
      </c>
      <c r="M74" s="239">
        <f t="shared" si="11"/>
        <v>0.82216986927164304</v>
      </c>
      <c r="N74" s="239">
        <f t="shared" si="12"/>
        <v>0.3244120276842149</v>
      </c>
      <c r="O74" s="239">
        <f t="shared" si="13"/>
        <v>0.12703908518379581</v>
      </c>
      <c r="P74" s="233"/>
    </row>
    <row r="75" spans="3:16" x14ac:dyDescent="0.25">
      <c r="C75" s="232">
        <v>1625</v>
      </c>
      <c r="D75" s="25">
        <f t="shared" si="3"/>
        <v>6.5215471919221102</v>
      </c>
      <c r="E75" s="25">
        <f t="shared" si="14"/>
        <v>295.02143428385665</v>
      </c>
      <c r="F75" s="242"/>
      <c r="G75" s="234">
        <f t="shared" si="5"/>
        <v>290.59971765638744</v>
      </c>
      <c r="H75" s="234">
        <f t="shared" si="6"/>
        <v>123.61118794593312</v>
      </c>
      <c r="I75" s="234">
        <f t="shared" si="7"/>
        <v>45.286785274514209</v>
      </c>
      <c r="J75" s="234">
        <f t="shared" si="8"/>
        <v>17.276460833378206</v>
      </c>
      <c r="K75" s="240">
        <f t="shared" si="9"/>
        <v>6.887447056981399</v>
      </c>
      <c r="L75" s="240">
        <f t="shared" si="10"/>
        <v>2.6985973900025826</v>
      </c>
      <c r="M75" s="239">
        <f t="shared" si="11"/>
        <v>0.8292621642207767</v>
      </c>
      <c r="N75" s="239">
        <f t="shared" si="12"/>
        <v>0.32708877496520894</v>
      </c>
      <c r="O75" s="239">
        <f t="shared" si="13"/>
        <v>0.12814688446965516</v>
      </c>
      <c r="P75" s="233"/>
    </row>
    <row r="76" spans="3:16" x14ac:dyDescent="0.25">
      <c r="C76" s="2">
        <v>1650</v>
      </c>
      <c r="D76" s="25">
        <f t="shared" si="3"/>
        <v>6.6218786871824502</v>
      </c>
      <c r="E76" s="25">
        <f t="shared" si="14"/>
        <v>297.30259305465052</v>
      </c>
      <c r="F76" s="242"/>
      <c r="G76" s="234">
        <f t="shared" si="5"/>
        <v>292.84668691925214</v>
      </c>
      <c r="H76" s="234">
        <f t="shared" si="6"/>
        <v>124.53559575123784</v>
      </c>
      <c r="I76" s="234">
        <f t="shared" si="7"/>
        <v>45.633049146110629</v>
      </c>
      <c r="J76" s="234">
        <f t="shared" si="8"/>
        <v>17.408663391082175</v>
      </c>
      <c r="K76" s="240">
        <f t="shared" si="9"/>
        <v>6.9404583161337978</v>
      </c>
      <c r="L76" s="240">
        <f t="shared" si="10"/>
        <v>2.7193139647057216</v>
      </c>
      <c r="M76" s="239">
        <f t="shared" si="11"/>
        <v>0.83630595935729624</v>
      </c>
      <c r="N76" s="239">
        <f t="shared" si="12"/>
        <v>0.32974623617528648</v>
      </c>
      <c r="O76" s="239">
        <f t="shared" si="13"/>
        <v>0.12924720977188658</v>
      </c>
      <c r="P76" s="233"/>
    </row>
    <row r="77" spans="3:16" x14ac:dyDescent="0.25">
      <c r="C77" s="232">
        <v>1675</v>
      </c>
      <c r="D77" s="25">
        <f t="shared" si="3"/>
        <v>6.7222101824427911</v>
      </c>
      <c r="E77" s="25">
        <f t="shared" si="14"/>
        <v>299.56668916826777</v>
      </c>
      <c r="F77" s="242"/>
      <c r="G77" s="234">
        <f t="shared" si="5"/>
        <v>295.07684925630815</v>
      </c>
      <c r="H77" s="234">
        <f t="shared" si="6"/>
        <v>125.45285979460313</v>
      </c>
      <c r="I77" s="234">
        <f t="shared" si="7"/>
        <v>45.976693865605064</v>
      </c>
      <c r="J77" s="234">
        <f t="shared" si="8"/>
        <v>17.539866759205648</v>
      </c>
      <c r="K77" s="240">
        <f t="shared" si="9"/>
        <v>6.993071226988409</v>
      </c>
      <c r="L77" s="240">
        <f t="shared" si="10"/>
        <v>2.7398744615809401</v>
      </c>
      <c r="M77" s="239">
        <f t="shared" si="11"/>
        <v>0.84330231376719045</v>
      </c>
      <c r="N77" s="239">
        <f t="shared" si="12"/>
        <v>0.33238483937487856</v>
      </c>
      <c r="O77" s="239">
        <f t="shared" si="13"/>
        <v>0.1303402236293556</v>
      </c>
      <c r="P77" s="233"/>
    </row>
    <row r="78" spans="3:16" x14ac:dyDescent="0.25">
      <c r="C78" s="2">
        <v>1700</v>
      </c>
      <c r="D78" s="25">
        <f t="shared" si="3"/>
        <v>6.8225416777031311</v>
      </c>
      <c r="E78" s="25">
        <f t="shared" si="14"/>
        <v>301.81410210193201</v>
      </c>
      <c r="F78" s="242"/>
      <c r="G78" s="234">
        <f t="shared" si="5"/>
        <v>297.29057845725754</v>
      </c>
      <c r="H78" s="234">
        <f t="shared" si="6"/>
        <v>126.36314068802591</v>
      </c>
      <c r="I78" s="234">
        <f t="shared" si="7"/>
        <v>46.317777899194851</v>
      </c>
      <c r="J78" s="234">
        <f t="shared" si="8"/>
        <v>17.670093236347562</v>
      </c>
      <c r="K78" s="240">
        <f t="shared" si="9"/>
        <v>7.0452946623714992</v>
      </c>
      <c r="L78" s="240">
        <f t="shared" si="10"/>
        <v>2.7602823600958182</v>
      </c>
      <c r="M78" s="239">
        <f t="shared" si="11"/>
        <v>0.85025224799629207</v>
      </c>
      <c r="N78" s="239">
        <f t="shared" si="12"/>
        <v>0.33500499689726942</v>
      </c>
      <c r="O78" s="239">
        <f t="shared" si="13"/>
        <v>0.13142608268037986</v>
      </c>
      <c r="P78" s="233"/>
    </row>
    <row r="79" spans="3:16" x14ac:dyDescent="0.25">
      <c r="C79" s="232">
        <v>1725</v>
      </c>
      <c r="D79" s="25">
        <f t="shared" si="3"/>
        <v>6.9228731729634712</v>
      </c>
      <c r="E79" s="25">
        <f t="shared" si="14"/>
        <v>304.04519745583451</v>
      </c>
      <c r="F79" s="242"/>
      <c r="G79" s="234">
        <f t="shared" si="5"/>
        <v>299.48823464275597</v>
      </c>
      <c r="H79" s="234">
        <f t="shared" si="6"/>
        <v>127.26659313199696</v>
      </c>
      <c r="I79" s="234">
        <f t="shared" si="7"/>
        <v>46.656357570328275</v>
      </c>
      <c r="J79" s="234">
        <f t="shared" si="8"/>
        <v>17.799364304005731</v>
      </c>
      <c r="K79" s="240">
        <f t="shared" si="9"/>
        <v>7.0971371703470503</v>
      </c>
      <c r="L79" s="240">
        <f t="shared" si="10"/>
        <v>2.7805410122977534</v>
      </c>
      <c r="M79" s="239">
        <f t="shared" si="11"/>
        <v>0.8571567459972198</v>
      </c>
      <c r="N79" s="239">
        <f t="shared" si="12"/>
        <v>0.33760710614848033</v>
      </c>
      <c r="O79" s="239">
        <f t="shared" si="13"/>
        <v>0.13250493796030274</v>
      </c>
      <c r="P79" s="233"/>
    </row>
    <row r="80" spans="3:16" x14ac:dyDescent="0.25">
      <c r="C80" s="2">
        <v>1750</v>
      </c>
      <c r="D80" s="25">
        <f t="shared" si="3"/>
        <v>7.0232046682238112</v>
      </c>
      <c r="E80" s="25">
        <f t="shared" si="14"/>
        <v>306.26032765370655</v>
      </c>
      <c r="F80" s="242"/>
      <c r="G80" s="234">
        <f t="shared" si="5"/>
        <v>301.67016495448513</v>
      </c>
      <c r="H80" s="234">
        <f t="shared" si="6"/>
        <v>128.1633662153115</v>
      </c>
      <c r="I80" s="234">
        <f t="shared" si="7"/>
        <v>46.992487168048761</v>
      </c>
      <c r="J80" s="234">
        <f t="shared" si="8"/>
        <v>17.927700667887287</v>
      </c>
      <c r="K80" s="240">
        <f t="shared" si="9"/>
        <v>7.148606990622671</v>
      </c>
      <c r="L80" s="240">
        <f t="shared" si="10"/>
        <v>2.8006536492531353</v>
      </c>
      <c r="M80" s="239">
        <f t="shared" si="11"/>
        <v>0.86401675695125235</v>
      </c>
      <c r="N80" s="239">
        <f t="shared" si="12"/>
        <v>0.34019155035550258</v>
      </c>
      <c r="O80" s="239">
        <f t="shared" si="13"/>
        <v>0.13357693517997693</v>
      </c>
      <c r="P80" s="233"/>
    </row>
    <row r="81" spans="3:16" x14ac:dyDescent="0.25">
      <c r="C81" s="232">
        <v>1775</v>
      </c>
      <c r="D81" s="25">
        <f t="shared" si="3"/>
        <v>7.1235361634841512</v>
      </c>
      <c r="E81" s="25">
        <f t="shared" si="14"/>
        <v>308.4598325985516</v>
      </c>
      <c r="F81" s="242"/>
      <c r="G81" s="234">
        <f t="shared" si="5"/>
        <v>303.8367042010567</v>
      </c>
      <c r="H81" s="234">
        <f t="shared" si="6"/>
        <v>129.053603695623</v>
      </c>
      <c r="I81" s="234">
        <f t="shared" si="7"/>
        <v>47.326219048395849</v>
      </c>
      <c r="J81" s="234">
        <f t="shared" si="8"/>
        <v>18.055122296572311</v>
      </c>
      <c r="K81" s="240">
        <f t="shared" si="9"/>
        <v>7.1997120699049093</v>
      </c>
      <c r="L81" s="240">
        <f t="shared" si="10"/>
        <v>2.8206233870740607</v>
      </c>
      <c r="M81" s="239">
        <f t="shared" si="11"/>
        <v>0.87083319697484274</v>
      </c>
      <c r="N81" s="239">
        <f t="shared" si="12"/>
        <v>0.342758699266903</v>
      </c>
      <c r="O81" s="239">
        <f t="shared" si="13"/>
        <v>0.13464221498663603</v>
      </c>
      <c r="P81" s="233"/>
    </row>
    <row r="82" spans="3:16" x14ac:dyDescent="0.25">
      <c r="C82" s="2">
        <v>1800</v>
      </c>
      <c r="D82" s="25">
        <f t="shared" si="3"/>
        <v>7.2238676587444912</v>
      </c>
      <c r="E82" s="25">
        <f t="shared" si="14"/>
        <v>310.6440402869967</v>
      </c>
      <c r="F82" s="242"/>
      <c r="G82" s="234">
        <f t="shared" si="5"/>
        <v>305.98817546315598</v>
      </c>
      <c r="H82" s="234">
        <f t="shared" si="6"/>
        <v>129.93744426222881</v>
      </c>
      <c r="I82" s="234">
        <f t="shared" si="7"/>
        <v>47.657603729399732</v>
      </c>
      <c r="J82" s="234">
        <f t="shared" si="8"/>
        <v>18.181648457734717</v>
      </c>
      <c r="K82" s="240">
        <f t="shared" si="9"/>
        <v>7.2504600762851155</v>
      </c>
      <c r="L82" s="240">
        <f t="shared" si="10"/>
        <v>2.8404532325644367</v>
      </c>
      <c r="M82" s="239">
        <f t="shared" si="11"/>
        <v>0.87760695071958617</v>
      </c>
      <c r="N82" s="239">
        <f t="shared" si="12"/>
        <v>0.34530890980946138</v>
      </c>
      <c r="O82" s="239">
        <f t="shared" si="13"/>
        <v>0.13570091320850167</v>
      </c>
      <c r="P82" s="233"/>
    </row>
    <row r="83" spans="3:16" x14ac:dyDescent="0.25">
      <c r="C83" s="232">
        <v>1825</v>
      </c>
      <c r="D83" s="25">
        <f t="shared" ref="D83:D146" si="16">C83/249.174</f>
        <v>7.3241991540048321</v>
      </c>
      <c r="E83" s="25">
        <f t="shared" si="14"/>
        <v>312.8132673854127</v>
      </c>
      <c r="F83" s="242"/>
      <c r="G83" s="234">
        <f>IF($G$15="","", IF(AND(C83&gt;=$M$5,C83&gt;=$G$15*$K$5,C83&gt;0),(C83-$G$15*$J$5)^$H$5*($I$5+C83*$L$5),"---"))</f>
        <v>308.12489066102791</v>
      </c>
      <c r="H83" s="234">
        <f t="shared" ref="H83:H146" si="17">IF($G$15="","", IF(AND(C83&gt;=$M$6,C83&gt;=$G$15*$K$6,C83&gt;0),(C83-$G$15*$J$6)^$H$6*($I$6+C83*$L$6),"---"))</f>
        <v>130.81502178244506</v>
      </c>
      <c r="I83" s="234">
        <f t="shared" ref="I83:I146" si="18">IF($G$15="","", IF(AND(C83&gt;=$M$7,C83&gt;=$G$15*$K$7,C83&gt;0),(C83-$G$15*$J$7)^$H$7*($I$7+C83*$L$7),"---"))</f>
        <v>47.98668998015696</v>
      </c>
      <c r="J83" s="234">
        <f t="shared" ref="J83:J146" si="19">IF($G$15="","", IF(AND(C83&gt;=$M$8,C83&gt;=$G$15*$K$8,C83&gt;0),(C83-$G$15*$J$8)^$H$8*($I$8+C83*$L$8),"---"))</f>
        <v>18.307297752106578</v>
      </c>
      <c r="K83" s="240">
        <f t="shared" ref="K83:K146" si="20">IF($G$15="","", IF(AND(C83&gt;=$M$9,C83&gt;=$G$15*$K$9,C83&gt;0),(C83-$G$15*$J$9)^$H$9*($I$9+C83*$L$9),"---"))</f>
        <v>7.3008584127295801</v>
      </c>
      <c r="L83" s="240">
        <f t="shared" ref="L83:L146" si="21">IF($G$15="","", IF(AND(C83&gt;=$M$10,C83&gt;=$G$15*$K$10,C83&gt;0),(C83-$G$15*$J$10)^$H$10*($I$10+C83*$L$10),"---"))</f>
        <v>2.8601460885144432</v>
      </c>
      <c r="M83" s="239">
        <f t="shared" ref="M83:M146" si="22">IF($G$15="","", IF(AND(C83&gt;=$M$11,C83&gt;=$G$15*$K$11,C83&gt;0),(C83-$G$15*$J$11)^$H$11*($I$11+C83*$L$11),"---"))</f>
        <v>0.88433887287368684</v>
      </c>
      <c r="N83" s="239">
        <f t="shared" ref="N83:N146" si="23">IF($G$15="","", IF(AND(C83&gt;=$M$12,C83&gt;=$G$15*$K$12,C83&gt;0),(C83-$G$15*$J$12)^$H$12*($I$12+C83*$L$12),"---"))</f>
        <v>0.34784252670416782</v>
      </c>
      <c r="O83" s="239">
        <f t="shared" ref="O83:O146" si="24">IF($G$15="","", IF(AND(C83&gt;=$M$13,C83&gt;=$G$15*$K$13,C83&gt;0),(C83-$G$15*$J$13)^$H$13*($I$13+C83*$L$13),"---"))</f>
        <v>0.13675316108434979</v>
      </c>
      <c r="P83" s="233"/>
    </row>
    <row r="84" spans="3:16" x14ac:dyDescent="0.25">
      <c r="C84" s="2">
        <v>1850</v>
      </c>
      <c r="D84" s="25">
        <f t="shared" si="16"/>
        <v>7.4245306492651721</v>
      </c>
      <c r="E84" s="25">
        <f t="shared" si="14"/>
        <v>314.96781977067053</v>
      </c>
      <c r="F84" s="242"/>
      <c r="G84" s="234">
        <f>IF($G$15="","", IF(AND(C84&gt;=$M$5,C84&gt;=$G$15*$K$5,C84&gt;0),(C84-$G$15*$J$5)^$H$5*($I$5+C84*$L$5),"---"))</f>
        <v>310.24715108712763</v>
      </c>
      <c r="H84" s="234">
        <f t="shared" si="17"/>
        <v>131.6864655328036</v>
      </c>
      <c r="I84" s="234">
        <f t="shared" si="18"/>
        <v>48.313524904431858</v>
      </c>
      <c r="J84" s="234">
        <f t="shared" si="19"/>
        <v>18.432088145355298</v>
      </c>
      <c r="K84" s="240">
        <f t="shared" si="20"/>
        <v>7.3509142297412131</v>
      </c>
      <c r="L84" s="240">
        <f t="shared" si="21"/>
        <v>2.8797047586697611</v>
      </c>
      <c r="M84" s="239">
        <f t="shared" si="22"/>
        <v>0.89102978957223833</v>
      </c>
      <c r="N84" s="239">
        <f t="shared" si="23"/>
        <v>0.35035988304461696</v>
      </c>
      <c r="O84" s="239">
        <f t="shared" si="24"/>
        <v>0.13779908547915429</v>
      </c>
      <c r="P84" s="233"/>
    </row>
    <row r="85" spans="3:16" x14ac:dyDescent="0.25">
      <c r="C85" s="232">
        <v>1875</v>
      </c>
      <c r="D85" s="25">
        <f t="shared" si="16"/>
        <v>7.5248621445255122</v>
      </c>
      <c r="E85" s="241"/>
      <c r="F85" s="242"/>
      <c r="G85" s="234">
        <f>IF($G$15="","", IF(AND(C85&gt;=$M$5,C85&gt;=$G$15*$K$5,C85&gt;0),(C85-$G$15*$J$5)^$H$5*($I$5+C85*$L$5),"---"))</f>
        <v>312.35524790651755</v>
      </c>
      <c r="H85" s="234">
        <f t="shared" si="17"/>
        <v>132.55190041620017</v>
      </c>
      <c r="I85" s="234">
        <f t="shared" si="18"/>
        <v>48.638154019189216</v>
      </c>
      <c r="J85" s="234">
        <f t="shared" si="19"/>
        <v>18.556036998028297</v>
      </c>
      <c r="K85" s="240">
        <f t="shared" si="20"/>
        <v>7.4006344372541095</v>
      </c>
      <c r="L85" s="240">
        <f t="shared" si="21"/>
        <v>2.8991319523996495</v>
      </c>
      <c r="M85" s="239">
        <f t="shared" si="22"/>
        <v>0.89768049972301833</v>
      </c>
      <c r="N85" s="239">
        <f t="shared" si="23"/>
        <v>0.3528613008405701</v>
      </c>
      <c r="O85" s="239">
        <f t="shared" si="24"/>
        <v>0.13883880908682872</v>
      </c>
      <c r="P85" s="233"/>
    </row>
    <row r="86" spans="3:16" x14ac:dyDescent="0.25">
      <c r="C86" s="2">
        <v>1900</v>
      </c>
      <c r="D86" s="25">
        <f t="shared" si="16"/>
        <v>7.6251936397858522</v>
      </c>
      <c r="E86" s="241"/>
      <c r="F86" s="242"/>
      <c r="G86" s="234">
        <f>IF($G$15="","", IF(AND(C86&gt;=$M$5,C86&gt;=$G$15*$K$5,C86&gt;0),(C86-$G$15*$J$5)^$H$5*($I$5+C86*$L$5),"---"))</f>
        <v>314.44946262736471</v>
      </c>
      <c r="H86" s="234">
        <f t="shared" si="17"/>
        <v>133.41144716602062</v>
      </c>
      <c r="I86" s="234">
        <f t="shared" si="18"/>
        <v>48.960621328429212</v>
      </c>
      <c r="J86" s="234">
        <f t="shared" si="19"/>
        <v>18.679161093706483</v>
      </c>
      <c r="K86" s="240">
        <f t="shared" si="20"/>
        <v>7.4500257158170839</v>
      </c>
      <c r="L86" s="240">
        <f t="shared" si="21"/>
        <v>2.9184302890858942</v>
      </c>
      <c r="M86" s="239">
        <f t="shared" si="22"/>
        <v>0.90429177625391932</v>
      </c>
      <c r="N86" s="239">
        <f t="shared" si="23"/>
        <v>0.35534709152921801</v>
      </c>
      <c r="O86" s="239">
        <f t="shared" si="24"/>
        <v>0.13987245062099948</v>
      </c>
      <c r="P86" s="233"/>
    </row>
    <row r="87" spans="3:16" x14ac:dyDescent="0.25">
      <c r="C87" s="232">
        <v>1925</v>
      </c>
      <c r="D87" s="25">
        <f t="shared" si="16"/>
        <v>7.7255251350461922</v>
      </c>
      <c r="E87" s="241"/>
      <c r="F87" s="242"/>
      <c r="G87" s="234">
        <f>IF($G$15="","", IF(AND(C87&gt;=$M$5,C87&gt;=$G$15*$K$5,C87&gt;0),(C87-$G$15*$J$5)^$H$5*($I$5+C87*$L$5),"---"))</f>
        <v>316.53006754369613</v>
      </c>
      <c r="H87" s="234">
        <f t="shared" si="17"/>
        <v>134.2652225381886</v>
      </c>
      <c r="I87" s="234">
        <f t="shared" si="18"/>
        <v>49.280969392663017</v>
      </c>
      <c r="J87" s="234">
        <f t="shared" si="19"/>
        <v>18.801476665495759</v>
      </c>
      <c r="K87" s="240">
        <f t="shared" si="20"/>
        <v>7.4990945271173786</v>
      </c>
      <c r="L87" s="240">
        <f t="shared" si="21"/>
        <v>2.9376023022527478</v>
      </c>
      <c r="M87" s="239">
        <f t="shared" si="22"/>
        <v>0.91086436728759812</v>
      </c>
      <c r="N87" s="239">
        <f t="shared" si="23"/>
        <v>0.35781755645646302</v>
      </c>
      <c r="O87" s="239">
        <f t="shared" si="24"/>
        <v>0.14090012499466409</v>
      </c>
      <c r="P87" s="233"/>
    </row>
    <row r="88" spans="3:16" x14ac:dyDescent="0.25">
      <c r="C88" s="2">
        <v>1950</v>
      </c>
      <c r="D88" s="25">
        <f t="shared" si="16"/>
        <v>7.8258566303065322</v>
      </c>
      <c r="E88" s="241"/>
      <c r="F88" s="242"/>
      <c r="G88" s="243"/>
      <c r="H88" s="234">
        <f t="shared" si="17"/>
        <v>135.11333949199542</v>
      </c>
      <c r="I88" s="234">
        <f t="shared" si="18"/>
        <v>49.599239394340252</v>
      </c>
      <c r="J88" s="234">
        <f t="shared" si="19"/>
        <v>18.922999420974925</v>
      </c>
      <c r="K88" s="240">
        <f t="shared" si="20"/>
        <v>7.5478471238916249</v>
      </c>
      <c r="L88" s="240">
        <f t="shared" si="21"/>
        <v>2.9566504434563132</v>
      </c>
      <c r="M88" s="239">
        <f t="shared" si="22"/>
        <v>0.91739899724850071</v>
      </c>
      <c r="N88" s="239">
        <f t="shared" si="23"/>
        <v>0.36027298733034202</v>
      </c>
      <c r="O88" s="239">
        <f t="shared" si="24"/>
        <v>0.14192194348951909</v>
      </c>
      <c r="P88" s="233"/>
    </row>
    <row r="89" spans="3:16" x14ac:dyDescent="0.25">
      <c r="C89" s="232">
        <v>1975</v>
      </c>
      <c r="D89" s="25">
        <f t="shared" si="16"/>
        <v>7.9261881255668731</v>
      </c>
      <c r="E89" s="241"/>
      <c r="F89" s="242"/>
      <c r="G89" s="243"/>
      <c r="H89" s="234">
        <f t="shared" si="17"/>
        <v>135.95590736050218</v>
      </c>
      <c r="I89" s="234">
        <f t="shared" si="18"/>
        <v>49.915471199511927</v>
      </c>
      <c r="J89" s="234">
        <f t="shared" si="19"/>
        <v>19.043744565708483</v>
      </c>
      <c r="K89" s="240">
        <f t="shared" si="20"/>
        <v>7.5962895592669746</v>
      </c>
      <c r="L89" s="240">
        <f t="shared" si="21"/>
        <v>2.9755770859502797</v>
      </c>
      <c r="M89" s="239">
        <f t="shared" si="22"/>
        <v>0.92389636790694651</v>
      </c>
      <c r="N89" s="239">
        <f t="shared" si="23"/>
        <v>0.36271366664854143</v>
      </c>
      <c r="O89" s="239">
        <f t="shared" si="24"/>
        <v>0.14293801391567409</v>
      </c>
      <c r="P89" s="233"/>
    </row>
    <row r="90" spans="3:16" x14ac:dyDescent="0.25">
      <c r="C90" s="2">
        <v>2000</v>
      </c>
      <c r="D90" s="25">
        <f t="shared" si="16"/>
        <v>8.0265196208272123</v>
      </c>
      <c r="E90" s="241"/>
      <c r="F90" s="242"/>
      <c r="G90" s="243"/>
      <c r="H90" s="234">
        <f t="shared" si="17"/>
        <v>136.79303201124071</v>
      </c>
      <c r="I90" s="234">
        <f t="shared" si="18"/>
        <v>50.229703415991338</v>
      </c>
      <c r="J90" s="234">
        <f t="shared" si="19"/>
        <v>19.163726825423971</v>
      </c>
      <c r="K90" s="240">
        <f t="shared" si="20"/>
        <v>7.6444276955720678</v>
      </c>
      <c r="L90" s="240">
        <f t="shared" si="21"/>
        <v>2.9943845281435113</v>
      </c>
      <c r="M90" s="239">
        <f t="shared" si="22"/>
        <v>0.93035715936462238</v>
      </c>
      <c r="N90" s="239">
        <f t="shared" si="23"/>
        <v>0.36513986810179083</v>
      </c>
      <c r="O90" s="239">
        <f t="shared" si="24"/>
        <v>0.14394844076241467</v>
      </c>
      <c r="P90" s="233"/>
    </row>
    <row r="91" spans="3:16" x14ac:dyDescent="0.25">
      <c r="C91" s="232">
        <v>2025</v>
      </c>
      <c r="D91" s="25">
        <f t="shared" si="16"/>
        <v>8.1268511160875523</v>
      </c>
      <c r="E91" s="241"/>
      <c r="F91" s="242"/>
      <c r="G91" s="243"/>
      <c r="H91" s="234">
        <f t="shared" si="17"/>
        <v>137.62481599787822</v>
      </c>
      <c r="I91" s="234">
        <f t="shared" si="18"/>
        <v>50.541973448252222</v>
      </c>
      <c r="J91" s="234">
        <f t="shared" si="19"/>
        <v>19.282960466945429</v>
      </c>
      <c r="K91" s="240">
        <f t="shared" si="20"/>
        <v>7.6922672126541016</v>
      </c>
      <c r="L91" s="240">
        <f t="shared" si="21"/>
        <v>3.0130749968637871</v>
      </c>
      <c r="M91" s="239">
        <f t="shared" si="22"/>
        <v>0.93678203098544821</v>
      </c>
      <c r="N91" s="239">
        <f t="shared" si="23"/>
        <v>0.36755185695478021</v>
      </c>
      <c r="O91" s="239">
        <f t="shared" si="24"/>
        <v>0.14495332534061842</v>
      </c>
      <c r="P91" s="233"/>
    </row>
    <row r="92" spans="3:16" x14ac:dyDescent="0.25">
      <c r="C92" s="2">
        <v>2050</v>
      </c>
      <c r="D92" s="25">
        <f t="shared" si="16"/>
        <v>8.2271826113478941</v>
      </c>
      <c r="E92" s="241"/>
      <c r="F92" s="242"/>
      <c r="G92" s="243"/>
      <c r="H92" s="234">
        <f t="shared" si="17"/>
        <v>138.45135870345982</v>
      </c>
      <c r="I92" s="234">
        <f t="shared" si="18"/>
        <v>50.852317549285274</v>
      </c>
      <c r="J92" s="234">
        <f t="shared" si="19"/>
        <v>19.401459317967106</v>
      </c>
      <c r="K92" s="240">
        <f t="shared" si="20"/>
        <v>7.7398136157353985</v>
      </c>
      <c r="L92" s="240">
        <f t="shared" si="21"/>
        <v>3.031650650440779</v>
      </c>
      <c r="M92" s="239">
        <f t="shared" si="22"/>
        <v>0.94317162227548335</v>
      </c>
      <c r="N92" s="239">
        <f t="shared" si="23"/>
        <v>0.36994989040611398</v>
      </c>
      <c r="O92" s="239">
        <f t="shared" si="24"/>
        <v>0.14595276591738648</v>
      </c>
      <c r="P92" s="233"/>
    </row>
    <row r="93" spans="3:16" x14ac:dyDescent="0.25">
      <c r="C93" s="232">
        <v>2075</v>
      </c>
      <c r="D93" s="25">
        <f t="shared" si="16"/>
        <v>8.3275141066082341</v>
      </c>
      <c r="E93" s="241"/>
      <c r="F93" s="242"/>
      <c r="G93" s="243"/>
      <c r="H93" s="234">
        <f t="shared" si="17"/>
        <v>139.27275647579268</v>
      </c>
      <c r="I93" s="234">
        <f t="shared" si="18"/>
        <v>51.160770869616812</v>
      </c>
      <c r="J93" s="234">
        <f t="shared" si="19"/>
        <v>19.519236785745115</v>
      </c>
      <c r="K93" s="240">
        <f t="shared" si="20"/>
        <v>7.7870722428403187</v>
      </c>
      <c r="L93" s="240">
        <f t="shared" si="21"/>
        <v>3.0501135816203839</v>
      </c>
      <c r="M93" s="239">
        <f t="shared" si="22"/>
        <v>0.94952655371525108</v>
      </c>
      <c r="N93" s="239">
        <f t="shared" si="23"/>
        <v>0.37233421792869964</v>
      </c>
      <c r="O93" s="239">
        <f t="shared" si="24"/>
        <v>0.14694685784340228</v>
      </c>
      <c r="P93" s="233"/>
    </row>
    <row r="94" spans="3:16" x14ac:dyDescent="0.25">
      <c r="C94" s="2">
        <v>2100</v>
      </c>
      <c r="D94" s="25">
        <f t="shared" si="16"/>
        <v>8.4278456018685741</v>
      </c>
      <c r="E94" s="241"/>
      <c r="F94" s="242"/>
      <c r="G94" s="243"/>
      <c r="H94" s="234">
        <f t="shared" si="17"/>
        <v>140.08910275549249</v>
      </c>
      <c r="I94" s="234">
        <f t="shared" si="18"/>
        <v>51.467367503676591</v>
      </c>
      <c r="J94" s="234">
        <f t="shared" si="19"/>
        <v>19.636305874778376</v>
      </c>
      <c r="K94" s="240">
        <f t="shared" si="20"/>
        <v>7.8340482718208708</v>
      </c>
      <c r="L94" s="240">
        <f t="shared" si="21"/>
        <v>3.0684658203215349</v>
      </c>
      <c r="M94" s="239">
        <f t="shared" si="22"/>
        <v>0.95584742754759466</v>
      </c>
      <c r="N94" s="239">
        <f t="shared" si="23"/>
        <v>0.37470508159185123</v>
      </c>
      <c r="O94" s="239">
        <f t="shared" si="24"/>
        <v>0.14793569367349643</v>
      </c>
      <c r="P94" s="233"/>
    </row>
    <row r="95" spans="3:16" x14ac:dyDescent="0.25">
      <c r="C95" s="232">
        <v>2125</v>
      </c>
      <c r="D95" s="25">
        <f t="shared" si="16"/>
        <v>8.5281770971289141</v>
      </c>
      <c r="E95" s="241"/>
      <c r="F95" s="242"/>
      <c r="G95" s="243"/>
      <c r="H95" s="234">
        <f t="shared" si="17"/>
        <v>140.90048819717214</v>
      </c>
      <c r="I95" s="234">
        <f t="shared" si="18"/>
        <v>51.772140533688351</v>
      </c>
      <c r="J95" s="234">
        <f t="shared" si="19"/>
        <v>19.752679203545064</v>
      </c>
      <c r="K95" s="240">
        <f t="shared" si="20"/>
        <v>7.8807467270071818</v>
      </c>
      <c r="L95" s="240">
        <f t="shared" si="21"/>
        <v>3.0867093362457703</v>
      </c>
      <c r="M95" s="239">
        <f t="shared" si="22"/>
        <v>0.96213482852393073</v>
      </c>
      <c r="N95" s="239">
        <f t="shared" si="23"/>
        <v>0.37706271636630162</v>
      </c>
      <c r="O95" s="239">
        <f t="shared" si="24"/>
        <v>0.14891936328085267</v>
      </c>
      <c r="P95" s="233"/>
    </row>
    <row r="96" spans="3:16" x14ac:dyDescent="0.25">
      <c r="C96" s="2">
        <v>2150</v>
      </c>
      <c r="D96" s="25">
        <f t="shared" si="16"/>
        <v>8.6285085923892542</v>
      </c>
      <c r="E96" s="241"/>
      <c r="F96" s="242"/>
      <c r="G96" s="243"/>
      <c r="H96" s="234">
        <f t="shared" si="17"/>
        <v>141.70700078421635</v>
      </c>
      <c r="I96" s="234">
        <f t="shared" si="18"/>
        <v>52.075122071242802</v>
      </c>
      <c r="J96" s="234">
        <f t="shared" si="19"/>
        <v>19.868369020355306</v>
      </c>
      <c r="K96" s="240">
        <f t="shared" si="20"/>
        <v>7.9271724855070893</v>
      </c>
      <c r="L96" s="240">
        <f t="shared" si="21"/>
        <v>3.104846041349087</v>
      </c>
      <c r="M96" s="239">
        <f t="shared" si="22"/>
        <v>0.96838932461158267</v>
      </c>
      <c r="N96" s="239">
        <f t="shared" si="23"/>
        <v>0.37940735041321416</v>
      </c>
      <c r="O96" s="239">
        <f t="shared" si="24"/>
        <v>0.14989795396526551</v>
      </c>
      <c r="P96" s="233"/>
    </row>
    <row r="97" spans="3:16" x14ac:dyDescent="0.25">
      <c r="C97" s="232">
        <v>2175</v>
      </c>
      <c r="D97" s="25">
        <f t="shared" si="16"/>
        <v>8.7288400876495942</v>
      </c>
      <c r="E97" s="241"/>
      <c r="F97" s="242"/>
      <c r="G97" s="243"/>
      <c r="H97" s="234">
        <f t="shared" si="17"/>
        <v>142.50872593755165</v>
      </c>
      <c r="I97" s="234">
        <f t="shared" si="18"/>
        <v>52.37634329670076</v>
      </c>
      <c r="J97" s="234">
        <f t="shared" si="19"/>
        <v>19.983387218376578</v>
      </c>
      <c r="K97" s="240">
        <f t="shared" si="20"/>
        <v>7.973330283177142</v>
      </c>
      <c r="L97" s="240">
        <f t="shared" si="21"/>
        <v>3.122877792184815</v>
      </c>
      <c r="M97" s="239">
        <f t="shared" si="22"/>
        <v>0.97461146766462248</v>
      </c>
      <c r="N97" s="239">
        <f t="shared" si="23"/>
        <v>0.38173920535821559</v>
      </c>
      <c r="O97" s="239">
        <f t="shared" si="24"/>
        <v>0.15087155055582097</v>
      </c>
      <c r="P97" s="233"/>
    </row>
    <row r="98" spans="3:16" x14ac:dyDescent="0.25">
      <c r="C98" s="2">
        <v>2200</v>
      </c>
      <c r="D98" s="25">
        <f t="shared" si="16"/>
        <v>8.8291715829099342</v>
      </c>
      <c r="E98" s="241"/>
      <c r="F98" s="242"/>
      <c r="G98" s="243"/>
      <c r="H98" s="234">
        <f t="shared" si="17"/>
        <v>143.30574661879126</v>
      </c>
      <c r="I98" s="234">
        <f t="shared" si="18"/>
        <v>52.675834496563283</v>
      </c>
      <c r="J98" s="234">
        <f t="shared" si="19"/>
        <v>20.097745349883994</v>
      </c>
      <c r="K98" s="240">
        <f t="shared" si="20"/>
        <v>8.0192247202857772</v>
      </c>
      <c r="L98" s="240">
        <f t="shared" si="21"/>
        <v>3.1408063921256884</v>
      </c>
      <c r="M98" s="239">
        <f t="shared" si="22"/>
        <v>0.9808017940605237</v>
      </c>
      <c r="N98" s="239">
        <f t="shared" si="23"/>
        <v>0.38405849655138163</v>
      </c>
      <c r="O98" s="239">
        <f t="shared" si="24"/>
        <v>0.15184023550834946</v>
      </c>
      <c r="P98" s="233"/>
    </row>
    <row r="99" spans="3:16" x14ac:dyDescent="0.25">
      <c r="C99" s="232">
        <v>2225</v>
      </c>
      <c r="D99" s="25">
        <f t="shared" si="16"/>
        <v>8.9295030781702742</v>
      </c>
      <c r="E99" s="241"/>
      <c r="F99" s="242"/>
      <c r="G99" s="243"/>
      <c r="H99" s="234">
        <f t="shared" si="17"/>
        <v>144.09814342810716</v>
      </c>
      <c r="I99" s="234">
        <f t="shared" si="18"/>
        <v>52.973625098935983</v>
      </c>
      <c r="J99" s="234">
        <f t="shared" si="19"/>
        <v>20.211454639783771</v>
      </c>
      <c r="K99" s="240">
        <f t="shared" si="20"/>
        <v>8.0648602668878571</v>
      </c>
      <c r="L99" s="240">
        <f t="shared" si="21"/>
        <v>3.1586335934726208</v>
      </c>
      <c r="M99" s="239">
        <f t="shared" si="22"/>
        <v>0.98696082530472484</v>
      </c>
      <c r="N99" s="239">
        <f t="shared" si="23"/>
        <v>0.38636543331405532</v>
      </c>
      <c r="O99" s="239">
        <f t="shared" si="24"/>
        <v>0.15280408899797485</v>
      </c>
      <c r="P99" s="233"/>
    </row>
    <row r="100" spans="3:16" x14ac:dyDescent="0.25">
      <c r="C100" s="2">
        <v>2250</v>
      </c>
      <c r="D100" s="25">
        <f t="shared" si="16"/>
        <v>9.0298345734306142</v>
      </c>
      <c r="E100" s="241"/>
      <c r="F100" s="242"/>
      <c r="G100" s="243"/>
      <c r="H100" s="234">
        <f t="shared" si="17"/>
        <v>144.88599469715277</v>
      </c>
      <c r="I100" s="234">
        <f t="shared" si="18"/>
        <v>53.269743707204128</v>
      </c>
      <c r="J100" s="234">
        <f t="shared" si="19"/>
        <v>20.32452599845465</v>
      </c>
      <c r="K100" s="240">
        <f t="shared" si="20"/>
        <v>8.1102412679282825</v>
      </c>
      <c r="L100" s="240">
        <f t="shared" si="21"/>
        <v>3.1763610994571487</v>
      </c>
      <c r="M100" s="239">
        <f t="shared" si="22"/>
        <v>0.99308906860506307</v>
      </c>
      <c r="N100" s="239">
        <f t="shared" si="23"/>
        <v>0.38866021917329491</v>
      </c>
      <c r="O100" s="239">
        <f t="shared" si="24"/>
        <v>0.15376318900705666</v>
      </c>
      <c r="P100" s="233"/>
    </row>
    <row r="101" spans="3:16" x14ac:dyDescent="0.25">
      <c r="C101" s="232">
        <v>2275</v>
      </c>
      <c r="D101" s="25">
        <f t="shared" si="16"/>
        <v>9.1301660686909543</v>
      </c>
      <c r="E101" s="241"/>
      <c r="F101" s="242"/>
      <c r="G101" s="243"/>
      <c r="H101" s="234">
        <f t="shared" si="17"/>
        <v>145.6693765773411</v>
      </c>
      <c r="I101" s="234">
        <f t="shared" si="18"/>
        <v>53.564218132028529</v>
      </c>
      <c r="J101" s="234">
        <f t="shared" si="19"/>
        <v>20.436970033948906</v>
      </c>
      <c r="K101" s="240">
        <f t="shared" si="20"/>
        <v>8.1553719480912701</v>
      </c>
      <c r="L101" s="240">
        <f t="shared" si="21"/>
        <v>3.1939905661440586</v>
      </c>
      <c r="M101" s="239">
        <f t="shared" si="22"/>
        <v>0.99918701741790006</v>
      </c>
      <c r="N101" s="239">
        <f t="shared" si="23"/>
        <v>0.39094305208471303</v>
      </c>
      <c r="O101" s="239">
        <f t="shared" si="24"/>
        <v>0.15471761140880377</v>
      </c>
      <c r="P101" s="233"/>
    </row>
    <row r="102" spans="3:16" x14ac:dyDescent="0.25">
      <c r="C102" s="2">
        <v>2300</v>
      </c>
      <c r="D102" s="25">
        <f t="shared" si="16"/>
        <v>9.2304975639512943</v>
      </c>
      <c r="E102" s="241"/>
      <c r="F102" s="242"/>
      <c r="G102" s="243"/>
      <c r="H102" s="234">
        <f t="shared" si="17"/>
        <v>146.44836312375762</v>
      </c>
      <c r="I102" s="234">
        <f t="shared" si="18"/>
        <v>53.85707542176285</v>
      </c>
      <c r="J102" s="234">
        <f t="shared" si="19"/>
        <v>20.548797063591504</v>
      </c>
      <c r="K102" s="240">
        <f t="shared" si="20"/>
        <v>8.20025641641055</v>
      </c>
      <c r="L102" s="240">
        <f t="shared" si="21"/>
        <v>3.2115236042401984</v>
      </c>
      <c r="M102" s="240">
        <f t="shared" si="22"/>
        <v>1.0052551519676316</v>
      </c>
      <c r="N102" s="239">
        <f t="shared" si="23"/>
        <v>0.3932141246443917</v>
      </c>
      <c r="O102" s="239">
        <f t="shared" si="24"/>
        <v>0.15566743004681841</v>
      </c>
      <c r="P102" s="233"/>
    </row>
    <row r="103" spans="3:16" x14ac:dyDescent="0.25">
      <c r="C103" s="232">
        <v>2325</v>
      </c>
      <c r="D103" s="25">
        <f t="shared" si="16"/>
        <v>9.3308290592116343</v>
      </c>
      <c r="E103" s="241"/>
      <c r="F103" s="242"/>
      <c r="G103" s="243"/>
      <c r="H103" s="234">
        <f t="shared" si="17"/>
        <v>147.22302637496773</v>
      </c>
      <c r="I103" s="234">
        <f t="shared" si="18"/>
        <v>54.1483418913866</v>
      </c>
      <c r="J103" s="234">
        <f t="shared" si="19"/>
        <v>20.66001712501328</v>
      </c>
      <c r="K103" s="240">
        <f t="shared" si="20"/>
        <v>8.244898670654786</v>
      </c>
      <c r="L103" s="240">
        <f t="shared" si="21"/>
        <v>3.2289617808150402</v>
      </c>
      <c r="M103" s="240">
        <f t="shared" si="22"/>
        <v>1.0112939397411398</v>
      </c>
      <c r="N103" s="239">
        <f t="shared" si="23"/>
        <v>0.39547362429052912</v>
      </c>
      <c r="O103" s="239">
        <f t="shared" si="24"/>
        <v>0.15661271681080993</v>
      </c>
      <c r="P103" s="233"/>
    </row>
    <row r="104" spans="3:16" x14ac:dyDescent="0.25">
      <c r="C104" s="2">
        <v>2350</v>
      </c>
      <c r="D104" s="25">
        <f t="shared" si="16"/>
        <v>9.4311605544719743</v>
      </c>
      <c r="E104" s="241"/>
      <c r="F104" s="242"/>
      <c r="G104" s="243"/>
      <c r="H104" s="234">
        <f t="shared" si="17"/>
        <v>147.99343642896451</v>
      </c>
      <c r="I104" s="234">
        <f t="shared" si="18"/>
        <v>54.43804315004175</v>
      </c>
      <c r="J104" s="234">
        <f t="shared" si="19"/>
        <v>20.770639986651656</v>
      </c>
      <c r="K104" s="240">
        <f t="shared" si="20"/>
        <v>8.2893026015014595</v>
      </c>
      <c r="L104" s="240">
        <f t="shared" si="21"/>
        <v>3.2463066209382578</v>
      </c>
      <c r="M104" s="240">
        <f t="shared" si="22"/>
        <v>1.0173038359586764</v>
      </c>
      <c r="N104" s="239">
        <f t="shared" si="23"/>
        <v>0.39772173349541856</v>
      </c>
      <c r="O104" s="239">
        <f t="shared" si="24"/>
        <v>0.15755354170870289</v>
      </c>
      <c r="P104" s="233"/>
    </row>
    <row r="105" spans="3:16" x14ac:dyDescent="0.25">
      <c r="C105" s="232">
        <v>2375</v>
      </c>
      <c r="D105" s="25">
        <f t="shared" si="16"/>
        <v>9.5314920497323161</v>
      </c>
      <c r="E105" s="241"/>
      <c r="F105" s="242"/>
      <c r="G105" s="243"/>
      <c r="H105" s="234">
        <f t="shared" si="17"/>
        <v>148.75966151547863</v>
      </c>
      <c r="I105" s="234">
        <f t="shared" si="18"/>
        <v>54.726204127253681</v>
      </c>
      <c r="J105" s="234">
        <f t="shared" si="19"/>
        <v>20.880675157749735</v>
      </c>
      <c r="K105" s="240">
        <f t="shared" si="20"/>
        <v>8.3334719965114985</v>
      </c>
      <c r="L105" s="240">
        <f t="shared" si="21"/>
        <v>3.2635596092390942</v>
      </c>
      <c r="M105" s="240">
        <f t="shared" si="22"/>
        <v>1.0232852840225113</v>
      </c>
      <c r="N105" s="239">
        <f t="shared" si="23"/>
        <v>0.3999586299483161</v>
      </c>
      <c r="O105" s="239">
        <f t="shared" si="24"/>
        <v>0.1584899729353445</v>
      </c>
      <c r="P105" s="233"/>
    </row>
    <row r="106" spans="3:16" x14ac:dyDescent="0.25">
      <c r="C106" s="2">
        <v>2400</v>
      </c>
      <c r="D106" s="25">
        <f t="shared" si="16"/>
        <v>9.6318235449926561</v>
      </c>
      <c r="E106" s="241"/>
      <c r="F106" s="242"/>
      <c r="G106" s="243"/>
      <c r="H106" s="234">
        <f t="shared" si="17"/>
        <v>149.52176806486423</v>
      </c>
      <c r="I106" s="234">
        <f t="shared" si="18"/>
        <v>55.012849097913559</v>
      </c>
      <c r="J106" s="234">
        <f t="shared" si="19"/>
        <v>20.990131897883074</v>
      </c>
      <c r="K106" s="240">
        <f t="shared" si="20"/>
        <v>8.3774105439162785</v>
      </c>
      <c r="L106" s="240">
        <f t="shared" si="21"/>
        <v>3.2807221913920874</v>
      </c>
      <c r="M106" s="240">
        <f t="shared" si="22"/>
        <v>1.0292387159446426</v>
      </c>
      <c r="N106" s="239">
        <f t="shared" si="23"/>
        <v>0.40218448672973156</v>
      </c>
      <c r="O106" s="239">
        <f t="shared" si="24"/>
        <v>0.15942207693801125</v>
      </c>
      <c r="P106" s="233"/>
    </row>
    <row r="107" spans="3:16" x14ac:dyDescent="0.25">
      <c r="C107" s="232">
        <v>2425</v>
      </c>
      <c r="D107" s="25">
        <f t="shared" si="16"/>
        <v>9.7321550402529962</v>
      </c>
      <c r="E107" s="241"/>
      <c r="F107" s="242"/>
      <c r="G107" s="243"/>
      <c r="H107" s="234">
        <f t="shared" si="17"/>
        <v>150.27982077375515</v>
      </c>
      <c r="I107" s="234">
        <f t="shared" si="18"/>
        <v>55.298001706091839</v>
      </c>
      <c r="J107" s="234">
        <f t="shared" si="19"/>
        <v>21.09901922604077</v>
      </c>
      <c r="K107" s="240">
        <f t="shared" si="20"/>
        <v>8.4211218362275684</v>
      </c>
      <c r="L107" s="240">
        <f t="shared" si="21"/>
        <v>3.2977957755333289</v>
      </c>
      <c r="M107" s="240">
        <f t="shared" si="22"/>
        <v>1.035164552754736</v>
      </c>
      <c r="N107" s="239">
        <f t="shared" si="23"/>
        <v>0.40439947247761554</v>
      </c>
      <c r="O107" s="239">
        <f t="shared" si="24"/>
        <v>0.1603499184788903</v>
      </c>
      <c r="P107" s="233"/>
    </row>
    <row r="108" spans="3:16" x14ac:dyDescent="0.25">
      <c r="C108" s="2">
        <v>2450</v>
      </c>
      <c r="D108" s="25">
        <f t="shared" si="16"/>
        <v>9.8324865355133362</v>
      </c>
      <c r="E108" s="241"/>
      <c r="F108" s="242"/>
      <c r="G108" s="243"/>
      <c r="H108" s="234">
        <f t="shared" si="17"/>
        <v>151.03388266767419</v>
      </c>
      <c r="I108" s="234">
        <f t="shared" si="18"/>
        <v>55.581684987749796</v>
      </c>
      <c r="J108" s="234">
        <f t="shared" si="19"/>
        <v>21.207345929286351</v>
      </c>
      <c r="K108" s="240">
        <f t="shared" si="20"/>
        <v>8.4646093736805472</v>
      </c>
      <c r="L108" s="240">
        <f t="shared" si="21"/>
        <v>3.31478173361121</v>
      </c>
      <c r="M108" s="240">
        <f t="shared" si="22"/>
        <v>1.0410632048894082</v>
      </c>
      <c r="N108" s="239">
        <f t="shared" si="23"/>
        <v>0.40660375154591194</v>
      </c>
      <c r="O108" s="239">
        <f t="shared" si="24"/>
        <v>0.16127356069470769</v>
      </c>
      <c r="P108" s="233"/>
    </row>
    <row r="109" spans="3:16" x14ac:dyDescent="0.25">
      <c r="C109" s="232">
        <v>2475</v>
      </c>
      <c r="D109" s="25">
        <f t="shared" si="16"/>
        <v>9.9328180307736762</v>
      </c>
      <c r="E109" s="241"/>
      <c r="F109" s="242"/>
      <c r="G109" s="243"/>
      <c r="H109" s="234">
        <f t="shared" si="17"/>
        <v>151.78401516076892</v>
      </c>
      <c r="I109" s="234">
        <f t="shared" si="18"/>
        <v>55.863921392410397</v>
      </c>
      <c r="J109" s="234">
        <f t="shared" si="19"/>
        <v>21.315120571021875</v>
      </c>
      <c r="K109" s="240">
        <f t="shared" si="20"/>
        <v>8.5078765675191939</v>
      </c>
      <c r="L109" s="240">
        <f t="shared" si="21"/>
        <v>3.3316814026753008</v>
      </c>
      <c r="M109" s="240">
        <f t="shared" si="22"/>
        <v>1.0469350725638953</v>
      </c>
      <c r="N109" s="239">
        <f t="shared" si="23"/>
        <v>0.40879748415589146</v>
      </c>
      <c r="O109" s="239">
        <f t="shared" si="24"/>
        <v>0.1621930651536618</v>
      </c>
      <c r="P109" s="233"/>
    </row>
    <row r="110" spans="3:16" x14ac:dyDescent="0.25">
      <c r="C110" s="2">
        <v>2500</v>
      </c>
      <c r="D110" s="25">
        <f t="shared" si="16"/>
        <v>10.033149526034016</v>
      </c>
      <c r="E110" s="241"/>
      <c r="F110" s="242"/>
      <c r="G110" s="243"/>
      <c r="H110" s="234">
        <f t="shared" si="17"/>
        <v>152.53027811282962</v>
      </c>
      <c r="I110" s="234">
        <f t="shared" si="18"/>
        <v>56.144732803846246</v>
      </c>
      <c r="J110" s="234">
        <f t="shared" si="19"/>
        <v>21.422351498877237</v>
      </c>
      <c r="K110" s="240">
        <f t="shared" si="20"/>
        <v>8.5509267431327185</v>
      </c>
      <c r="L110" s="240">
        <f t="shared" si="21"/>
        <v>3.3484960861067909</v>
      </c>
      <c r="M110" s="240">
        <f t="shared" si="22"/>
        <v>1.0527805461270539</v>
      </c>
      <c r="N110" s="239">
        <f t="shared" si="23"/>
        <v>0.41098082654066992</v>
      </c>
      <c r="O110" s="239">
        <f t="shared" si="24"/>
        <v>0.16310849190980661</v>
      </c>
      <c r="P110" s="233"/>
    </row>
    <row r="111" spans="3:16" x14ac:dyDescent="0.25">
      <c r="C111" s="232">
        <v>2525</v>
      </c>
      <c r="D111" s="25">
        <f t="shared" si="16"/>
        <v>10.133481021294356</v>
      </c>
      <c r="E111" s="241"/>
      <c r="F111" s="242"/>
      <c r="G111" s="243"/>
      <c r="H111" s="234">
        <f t="shared" si="17"/>
        <v>153.27272988374244</v>
      </c>
      <c r="I111" s="234">
        <f t="shared" si="18"/>
        <v>56.424140559838882</v>
      </c>
      <c r="J111" s="234">
        <f t="shared" si="19"/>
        <v>21.529046852245255</v>
      </c>
      <c r="K111" s="240">
        <f t="shared" si="20"/>
        <v>8.593763143051353</v>
      </c>
      <c r="L111" s="240">
        <f t="shared" si="21"/>
        <v>3.3652270547937264</v>
      </c>
      <c r="M111" s="240">
        <f t="shared" si="22"/>
        <v>1.0586000064006269</v>
      </c>
      <c r="N111" s="239">
        <f t="shared" si="23"/>
        <v>0.41315393108328086</v>
      </c>
      <c r="O111" s="239">
        <f t="shared" si="24"/>
        <v>0.16401989955502877</v>
      </c>
      <c r="P111" s="233"/>
    </row>
    <row r="112" spans="3:16" x14ac:dyDescent="0.25">
      <c r="C112" s="2">
        <v>2550</v>
      </c>
      <c r="D112" s="25">
        <f t="shared" si="16"/>
        <v>10.233812516554696</v>
      </c>
      <c r="E112" s="241"/>
      <c r="F112" s="242"/>
      <c r="G112" s="243"/>
      <c r="H112" s="234">
        <f t="shared" si="17"/>
        <v>154.0114273855157</v>
      </c>
      <c r="I112" s="234">
        <f t="shared" si="18"/>
        <v>56.702165471059239</v>
      </c>
      <c r="J112" s="234">
        <f t="shared" si="19"/>
        <v>21.635214569481853</v>
      </c>
      <c r="K112" s="240">
        <f t="shared" si="20"/>
        <v>8.636388929808966</v>
      </c>
      <c r="L112" s="240">
        <f t="shared" si="21"/>
        <v>3.3818755482540022</v>
      </c>
      <c r="M112" s="240">
        <f t="shared" si="22"/>
        <v>1.0643938250035954</v>
      </c>
      <c r="N112" s="239">
        <f t="shared" si="23"/>
        <v>0.4153169464486518</v>
      </c>
      <c r="O112" s="239">
        <f t="shared" si="24"/>
        <v>0.16492734526874145</v>
      </c>
      <c r="P112" s="233"/>
    </row>
    <row r="113" spans="3:16" x14ac:dyDescent="0.25">
      <c r="C113" s="232">
        <v>2575</v>
      </c>
      <c r="D113" s="25">
        <f t="shared" si="16"/>
        <v>10.334144011815036</v>
      </c>
      <c r="E113" s="241"/>
      <c r="F113" s="242"/>
      <c r="G113" s="243"/>
      <c r="H113" s="234">
        <f t="shared" si="17"/>
        <v>154.74642613200965</v>
      </c>
      <c r="I113" s="234">
        <f t="shared" si="18"/>
        <v>56.978827839117251</v>
      </c>
      <c r="J113" s="234">
        <f t="shared" si="19"/>
        <v>21.740862394789197</v>
      </c>
      <c r="K113" s="240">
        <f t="shared" si="20"/>
        <v>8.6788071886798033</v>
      </c>
      <c r="L113" s="240">
        <f t="shared" si="21"/>
        <v>3.3984427757089404</v>
      </c>
      <c r="M113" s="240">
        <f t="shared" si="22"/>
        <v>1.0701623646624259</v>
      </c>
      <c r="N113" s="239">
        <f t="shared" si="23"/>
        <v>0.41747001770980685</v>
      </c>
      <c r="O113" s="239">
        <f t="shared" si="24"/>
        <v>0.16583088486542133</v>
      </c>
      <c r="P113" s="233"/>
    </row>
    <row r="114" spans="3:16" x14ac:dyDescent="0.25">
      <c r="C114" s="2">
        <v>2600</v>
      </c>
      <c r="D114" s="25">
        <f t="shared" si="16"/>
        <v>10.434475507075376</v>
      </c>
      <c r="E114" s="241"/>
      <c r="F114" s="242"/>
      <c r="G114" s="243"/>
      <c r="H114" s="234">
        <f t="shared" si="17"/>
        <v>155.47778028649421</v>
      </c>
      <c r="I114" s="234">
        <f t="shared" si="18"/>
        <v>57.254147473824268</v>
      </c>
      <c r="J114" s="234">
        <f t="shared" si="19"/>
        <v>21.845997884798845</v>
      </c>
      <c r="K114" s="240">
        <f t="shared" si="20"/>
        <v>8.7210209302959729</v>
      </c>
      <c r="L114" s="240">
        <f t="shared" si="21"/>
        <v>3.4149299171100984</v>
      </c>
      <c r="M114" s="240">
        <f t="shared" si="22"/>
        <v>1.0759059795079589</v>
      </c>
      <c r="N114" s="239">
        <f t="shared" si="23"/>
        <v>0.41961328646860907</v>
      </c>
      <c r="O114" s="239">
        <f t="shared" si="24"/>
        <v>0.16673057284010018</v>
      </c>
      <c r="P114" s="233"/>
    </row>
    <row r="115" spans="3:16" x14ac:dyDescent="0.25">
      <c r="C115" s="232">
        <v>2625</v>
      </c>
      <c r="D115" s="25">
        <f t="shared" si="16"/>
        <v>10.534807002335716</v>
      </c>
      <c r="E115" s="241"/>
      <c r="F115" s="242"/>
      <c r="G115" s="243"/>
      <c r="H115" s="234">
        <f t="shared" si="17"/>
        <v>156.20554270714737</v>
      </c>
      <c r="I115" s="234">
        <f t="shared" si="18"/>
        <v>57.528143709710406</v>
      </c>
      <c r="J115" s="234">
        <f t="shared" si="19"/>
        <v>21.950628414870653</v>
      </c>
      <c r="K115" s="240">
        <f t="shared" si="20"/>
        <v>8.7630330931520035</v>
      </c>
      <c r="L115" s="240">
        <f t="shared" si="21"/>
        <v>3.4313381241217416</v>
      </c>
      <c r="M115" s="240">
        <f t="shared" si="22"/>
        <v>1.0816250153596243</v>
      </c>
      <c r="N115" s="239">
        <f t="shared" si="23"/>
        <v>0.42174689097132018</v>
      </c>
      <c r="O115" s="239">
        <f t="shared" si="24"/>
        <v>0.16762646241191809</v>
      </c>
      <c r="P115" s="233"/>
    </row>
    <row r="116" spans="3:16" x14ac:dyDescent="0.25">
      <c r="C116" s="2">
        <v>2650</v>
      </c>
      <c r="D116" s="25">
        <f t="shared" si="16"/>
        <v>10.635138497596056</v>
      </c>
      <c r="E116" s="241"/>
      <c r="F116" s="242"/>
      <c r="G116" s="243"/>
      <c r="H116" s="234">
        <f t="shared" si="17"/>
        <v>156.92976499060362</v>
      </c>
      <c r="I116" s="234">
        <f t="shared" si="18"/>
        <v>57.800835421835252</v>
      </c>
      <c r="J116" s="234">
        <f t="shared" si="19"/>
        <v>22.054761185122334</v>
      </c>
      <c r="K116" s="240">
        <f t="shared" si="20"/>
        <v>8.8048465460023539</v>
      </c>
      <c r="L116" s="240">
        <f t="shared" si="21"/>
        <v>3.4476685210613294</v>
      </c>
      <c r="M116" s="240">
        <f t="shared" si="22"/>
        <v>1.0873198099976515</v>
      </c>
      <c r="N116" s="239">
        <f t="shared" si="23"/>
        <v>0.42387096621925463</v>
      </c>
      <c r="O116" s="239">
        <f t="shared" si="24"/>
        <v>0.16851860556583956</v>
      </c>
      <c r="P116" s="233"/>
    </row>
    <row r="117" spans="3:16" x14ac:dyDescent="0.25">
      <c r="C117" s="232">
        <v>2675</v>
      </c>
      <c r="D117" s="25">
        <f t="shared" si="16"/>
        <v>10.735469992856398</v>
      </c>
      <c r="E117" s="241"/>
      <c r="F117" s="242"/>
      <c r="G117" s="243"/>
      <c r="H117" s="234">
        <f t="shared" si="17"/>
        <v>157.65049751365277</v>
      </c>
      <c r="I117" s="234">
        <f t="shared" si="18"/>
        <v>58.07224104092878</v>
      </c>
      <c r="J117" s="234">
        <f t="shared" si="19"/>
        <v>22.158403226203504</v>
      </c>
      <c r="K117" s="240">
        <f t="shared" si="20"/>
        <v>8.8464640901574256</v>
      </c>
      <c r="L117" s="240">
        <f t="shared" si="21"/>
        <v>3.463922205800162</v>
      </c>
      <c r="M117" s="240">
        <f t="shared" si="22"/>
        <v>1.0929906934238827</v>
      </c>
      <c r="N117" s="239">
        <f t="shared" si="23"/>
        <v>0.4259856440747759</v>
      </c>
      <c r="O117" s="239">
        <f t="shared" si="24"/>
        <v>0.16940705309262374</v>
      </c>
      <c r="P117" s="233"/>
    </row>
    <row r="118" spans="3:16" x14ac:dyDescent="0.25">
      <c r="C118" s="2">
        <v>2700</v>
      </c>
      <c r="D118" s="25">
        <f t="shared" si="16"/>
        <v>10.835801488116738</v>
      </c>
      <c r="E118" s="241"/>
      <c r="F118" s="242"/>
      <c r="G118" s="243"/>
      <c r="H118" s="234">
        <f t="shared" si="17"/>
        <v>158.36778947318493</v>
      </c>
      <c r="I118" s="234">
        <f t="shared" si="18"/>
        <v>58.34237856789688</v>
      </c>
      <c r="J118" s="234">
        <f t="shared" si="19"/>
        <v>22.261561404827553</v>
      </c>
      <c r="K118" s="240">
        <f t="shared" si="20"/>
        <v>8.8878884616833087</v>
      </c>
      <c r="L118" s="240">
        <f t="shared" si="21"/>
        <v>3.4801002506262595</v>
      </c>
      <c r="M118" s="240">
        <f t="shared" si="22"/>
        <v>1.0986379881117763</v>
      </c>
      <c r="N118" s="239">
        <f t="shared" si="23"/>
        <v>0.42809105336287384</v>
      </c>
      <c r="O118" s="239">
        <f t="shared" si="24"/>
        <v>0.17029185462714247</v>
      </c>
      <c r="P118" s="233"/>
    </row>
    <row r="119" spans="3:16" x14ac:dyDescent="0.25">
      <c r="C119" s="232">
        <v>2725</v>
      </c>
      <c r="D119" s="25">
        <f t="shared" si="16"/>
        <v>10.936132983377078</v>
      </c>
      <c r="E119" s="241"/>
      <c r="F119" s="242"/>
      <c r="G119" s="243"/>
      <c r="H119" s="234">
        <f t="shared" si="17"/>
        <v>159.08168892447</v>
      </c>
      <c r="I119" s="234">
        <f t="shared" si="18"/>
        <v>58.611265587723615</v>
      </c>
      <c r="J119" s="234">
        <f t="shared" si="19"/>
        <v>22.364242429073357</v>
      </c>
      <c r="K119" s="240">
        <f t="shared" si="20"/>
        <v>8.9291223335100618</v>
      </c>
      <c r="L119" s="240">
        <f t="shared" si="21"/>
        <v>3.4962037030713642</v>
      </c>
      <c r="M119" s="240">
        <f t="shared" si="22"/>
        <v>1.1042620092461286</v>
      </c>
      <c r="N119" s="239">
        <f t="shared" si="23"/>
        <v>0.43018731996854842</v>
      </c>
      <c r="O119" s="239">
        <f t="shared" si="24"/>
        <v>0.17117305868512298</v>
      </c>
      <c r="P119" s="233"/>
    </row>
    <row r="120" spans="3:16" x14ac:dyDescent="0.25">
      <c r="C120" s="2">
        <v>2750</v>
      </c>
      <c r="D120" s="25">
        <f t="shared" si="16"/>
        <v>11.036464478637418</v>
      </c>
      <c r="E120" s="241"/>
      <c r="F120" s="242"/>
      <c r="G120" s="243"/>
      <c r="H120" s="234">
        <f t="shared" si="17"/>
        <v>159.79224281785611</v>
      </c>
      <c r="I120" s="234">
        <f t="shared" si="18"/>
        <v>58.878919282800688</v>
      </c>
      <c r="J120" s="234">
        <f t="shared" si="19"/>
        <v>22.466452853468663</v>
      </c>
      <c r="K120" s="240">
        <f t="shared" si="20"/>
        <v>8.9701683174532363</v>
      </c>
      <c r="L120" s="240">
        <f t="shared" si="21"/>
        <v>3.5122335867038696</v>
      </c>
      <c r="M120" s="240">
        <f t="shared" si="22"/>
        <v>1.1098630649530492</v>
      </c>
      <c r="N120" s="239">
        <f t="shared" si="23"/>
        <v>0.43227456693020522</v>
      </c>
      <c r="O120" s="239">
        <f t="shared" si="24"/>
        <v>0.17205071269839925</v>
      </c>
      <c r="P120" s="233"/>
    </row>
    <row r="121" spans="3:16" x14ac:dyDescent="0.25">
      <c r="C121" s="232">
        <v>2775</v>
      </c>
      <c r="D121" s="25">
        <f t="shared" si="16"/>
        <v>11.136795973897758</v>
      </c>
      <c r="E121" s="241"/>
      <c r="F121" s="242"/>
      <c r="G121" s="243"/>
      <c r="H121" s="234">
        <f t="shared" si="17"/>
        <v>160.49949703396723</v>
      </c>
      <c r="I121" s="234">
        <f t="shared" si="18"/>
        <v>59.145356445712778</v>
      </c>
      <c r="J121" s="234">
        <f t="shared" si="19"/>
        <v>22.568199083865927</v>
      </c>
      <c r="K121" s="240">
        <f t="shared" si="20"/>
        <v>9.0110289661529315</v>
      </c>
      <c r="L121" s="240">
        <f t="shared" si="21"/>
        <v>3.528190901889432</v>
      </c>
      <c r="M121" s="240">
        <f t="shared" si="22"/>
        <v>1.1154414565206521</v>
      </c>
      <c r="N121" s="239">
        <f t="shared" si="23"/>
        <v>0.43435291452926739</v>
      </c>
      <c r="O121" s="239">
        <f t="shared" si="24"/>
        <v>0.17292486304874172</v>
      </c>
      <c r="P121" s="233"/>
    </row>
    <row r="122" spans="3:16" x14ac:dyDescent="0.25">
      <c r="C122" s="2">
        <v>2800</v>
      </c>
      <c r="D122" s="25">
        <f t="shared" si="16"/>
        <v>11.237127469158098</v>
      </c>
      <c r="E122" s="241"/>
      <c r="F122" s="242"/>
      <c r="G122" s="243"/>
      <c r="H122" s="234">
        <f t="shared" si="17"/>
        <v>161.20349641747208</v>
      </c>
      <c r="I122" s="234">
        <f t="shared" si="18"/>
        <v>59.410593491505438</v>
      </c>
      <c r="J122" s="234">
        <f t="shared" si="19"/>
        <v>22.669487382120867</v>
      </c>
      <c r="K122" s="240">
        <f t="shared" si="20"/>
        <v>9.0517067749343845</v>
      </c>
      <c r="L122" s="240">
        <f t="shared" si="21"/>
        <v>3.5440766265207699</v>
      </c>
      <c r="M122" s="240">
        <f t="shared" si="22"/>
        <v>1.1209974786109222</v>
      </c>
      <c r="N122" s="239">
        <f t="shared" si="23"/>
        <v>0.43642248037618303</v>
      </c>
      <c r="O122" s="239">
        <f t="shared" si="24"/>
        <v>0.17379555510033695</v>
      </c>
      <c r="P122" s="233"/>
    </row>
    <row r="123" spans="3:16" x14ac:dyDescent="0.25">
      <c r="C123" s="232">
        <v>2825</v>
      </c>
      <c r="D123" s="25">
        <f t="shared" si="16"/>
        <v>11.337458964418438</v>
      </c>
      <c r="E123" s="241"/>
      <c r="F123" s="242"/>
      <c r="G123" s="243"/>
      <c r="H123" s="234">
        <f t="shared" si="17"/>
        <v>161.90428480949609</v>
      </c>
      <c r="I123" s="234">
        <f t="shared" si="18"/>
        <v>59.674646469461024</v>
      </c>
      <c r="J123" s="234">
        <f t="shared" si="19"/>
        <v>22.77032387058339</v>
      </c>
      <c r="K123" s="240">
        <f t="shared" si="20"/>
        <v>9.0922041835940863</v>
      </c>
      <c r="L123" s="240">
        <f t="shared" si="21"/>
        <v>3.5598917167182438</v>
      </c>
      <c r="M123" s="240">
        <f t="shared" si="22"/>
        <v>1.126531419463197</v>
      </c>
      <c r="N123" s="239">
        <f t="shared" si="23"/>
        <v>0.4384833794930097</v>
      </c>
      <c r="O123" s="239">
        <f t="shared" si="24"/>
        <v>0.17466283323098286</v>
      </c>
      <c r="P123" s="233"/>
    </row>
    <row r="124" spans="3:16" x14ac:dyDescent="0.25">
      <c r="C124" s="2">
        <v>2850</v>
      </c>
      <c r="D124" s="25">
        <f t="shared" si="16"/>
        <v>11.437790459678778</v>
      </c>
      <c r="E124" s="241"/>
      <c r="F124" s="242"/>
      <c r="G124" s="243"/>
      <c r="H124" s="234">
        <f t="shared" si="17"/>
        <v>162.60190507874222</v>
      </c>
      <c r="I124" s="234">
        <f t="shared" si="18"/>
        <v>59.937531074406806</v>
      </c>
      <c r="J124" s="234">
        <f t="shared" si="19"/>
        <v>22.870714536410162</v>
      </c>
      <c r="K124" s="240">
        <f t="shared" si="20"/>
        <v>9.132523578114899</v>
      </c>
      <c r="L124" s="240">
        <f t="shared" si="21"/>
        <v>3.575637107502593</v>
      </c>
      <c r="M124" s="240">
        <f t="shared" si="22"/>
        <v>1.13204356108965</v>
      </c>
      <c r="N124" s="239">
        <f t="shared" si="23"/>
        <v>0.44053572439273464</v>
      </c>
      <c r="O124" s="239">
        <f t="shared" si="24"/>
        <v>0.17552674086205883</v>
      </c>
      <c r="P124" s="233"/>
    </row>
    <row r="125" spans="3:16" x14ac:dyDescent="0.25">
      <c r="C125" s="232">
        <v>2875</v>
      </c>
      <c r="D125" s="25">
        <f t="shared" si="16"/>
        <v>11.538121954939118</v>
      </c>
      <c r="E125" s="241"/>
      <c r="F125" s="242"/>
      <c r="G125" s="243"/>
      <c r="H125" s="234">
        <f t="shared" si="17"/>
        <v>163.29639915138253</v>
      </c>
      <c r="I125" s="234">
        <f t="shared" si="18"/>
        <v>60.199262657577286</v>
      </c>
      <c r="J125" s="234">
        <f t="shared" si="19"/>
        <v>22.970665235707081</v>
      </c>
      <c r="K125" s="240">
        <f t="shared" si="20"/>
        <v>9.1726672923136636</v>
      </c>
      <c r="L125" s="240">
        <f t="shared" si="21"/>
        <v>3.5913137134411768</v>
      </c>
      <c r="M125" s="240">
        <f t="shared" si="22"/>
        <v>1.1375341794631657</v>
      </c>
      <c r="N125" s="239">
        <f t="shared" si="23"/>
        <v>0.44257962515549676</v>
      </c>
      <c r="O125" s="239">
        <f t="shared" si="24"/>
        <v>0.17638732048733272</v>
      </c>
      <c r="P125" s="233"/>
    </row>
    <row r="126" spans="3:16" x14ac:dyDescent="0.25">
      <c r="C126" s="2">
        <v>2900</v>
      </c>
      <c r="D126" s="25">
        <f t="shared" si="16"/>
        <v>11.638453450199458</v>
      </c>
      <c r="E126" s="241"/>
      <c r="F126" s="242"/>
      <c r="G126" s="243"/>
      <c r="H126" s="234">
        <f t="shared" si="17"/>
        <v>163.98780803977928</v>
      </c>
      <c r="I126" s="234">
        <f t="shared" si="18"/>
        <v>60.459856237052271</v>
      </c>
      <c r="J126" s="234">
        <f t="shared" si="19"/>
        <v>23.070181697510154</v>
      </c>
      <c r="K126" s="240">
        <f t="shared" si="20"/>
        <v>9.2126376094245064</v>
      </c>
      <c r="L126" s="240">
        <f t="shared" si="21"/>
        <v>3.6069224292689799</v>
      </c>
      <c r="M126" s="240">
        <f t="shared" si="22"/>
        <v>1.1430035446979649</v>
      </c>
      <c r="N126" s="239">
        <f t="shared" si="23"/>
        <v>0.44461518950184581</v>
      </c>
      <c r="O126" s="239">
        <f t="shared" si="24"/>
        <v>0.17724461370065614</v>
      </c>
      <c r="P126" s="233"/>
    </row>
    <row r="127" spans="3:16" x14ac:dyDescent="0.25">
      <c r="C127" s="232">
        <v>2925</v>
      </c>
      <c r="D127" s="25">
        <f t="shared" si="16"/>
        <v>11.738784945459798</v>
      </c>
      <c r="E127" s="241"/>
      <c r="F127" s="242"/>
      <c r="G127" s="243"/>
      <c r="H127" s="234">
        <f t="shared" si="17"/>
        <v>164.67617187009211</v>
      </c>
      <c r="I127" s="234">
        <f t="shared" si="18"/>
        <v>60.719326507791081</v>
      </c>
      <c r="J127" s="234">
        <f t="shared" si="19"/>
        <v>23.169269527612162</v>
      </c>
      <c r="K127" s="240">
        <f t="shared" si="20"/>
        <v>9.2524367636208886</v>
      </c>
      <c r="L127" s="240">
        <f t="shared" si="21"/>
        <v>3.622464130485608</v>
      </c>
      <c r="M127" s="240">
        <f t="shared" si="22"/>
        <v>1.1484519212233262</v>
      </c>
      <c r="N127" s="239">
        <f t="shared" si="23"/>
        <v>0.44664252286318967</v>
      </c>
      <c r="O127" s="239">
        <f t="shared" si="24"/>
        <v>0.17809866122260243</v>
      </c>
      <c r="P127" s="233"/>
    </row>
    <row r="128" spans="3:16" x14ac:dyDescent="0.25">
      <c r="C128" s="2">
        <v>2950</v>
      </c>
      <c r="D128" s="25">
        <f t="shared" si="16"/>
        <v>11.839116440720138</v>
      </c>
      <c r="E128" s="241"/>
      <c r="F128" s="242"/>
      <c r="G128" s="243"/>
      <c r="H128" s="234">
        <f t="shared" si="17"/>
        <v>165.36152990882164</v>
      </c>
      <c r="I128" s="234">
        <f t="shared" si="18"/>
        <v>60.977687851281068</v>
      </c>
      <c r="J128" s="234">
        <f t="shared" si="19"/>
        <v>23.267934212242416</v>
      </c>
      <c r="K128" s="240">
        <f t="shared" si="20"/>
        <v>9.2920669414792503</v>
      </c>
      <c r="L128" s="240">
        <f t="shared" si="21"/>
        <v>3.6379396739293357</v>
      </c>
      <c r="M128" s="240">
        <f t="shared" si="22"/>
        <v>1.1538795679507048</v>
      </c>
      <c r="N128" s="239">
        <f t="shared" si="23"/>
        <v>0.44866172844954999</v>
      </c>
      <c r="O128" s="239">
        <f t="shared" si="24"/>
        <v>0.17894950292609565</v>
      </c>
      <c r="P128" s="233"/>
    </row>
    <row r="129" spans="3:16" x14ac:dyDescent="0.25">
      <c r="C129" s="232">
        <v>2975</v>
      </c>
      <c r="D129" s="25">
        <f t="shared" si="16"/>
        <v>11.939447935980478</v>
      </c>
      <c r="E129" s="241"/>
      <c r="F129" s="242"/>
      <c r="G129" s="243"/>
      <c r="H129" s="234">
        <f t="shared" si="17"/>
        <v>166.04392058834148</v>
      </c>
      <c r="I129" s="234">
        <f t="shared" si="18"/>
        <v>61.234954344819421</v>
      </c>
      <c r="J129" s="234">
        <f t="shared" si="19"/>
        <v>23.36618112160652</v>
      </c>
      <c r="K129" s="240">
        <f t="shared" si="20"/>
        <v>9.3315302833869751</v>
      </c>
      <c r="L129" s="240">
        <f t="shared" si="21"/>
        <v>3.65334989832935</v>
      </c>
      <c r="M129" s="240">
        <f t="shared" si="22"/>
        <v>1.1592867384345846</v>
      </c>
      <c r="N129" s="239">
        <f t="shared" si="23"/>
        <v>0.45067290731476128</v>
      </c>
      <c r="O129" s="239">
        <f t="shared" si="24"/>
        <v>0.17979717786107663</v>
      </c>
      <c r="P129" s="233"/>
    </row>
    <row r="130" spans="3:16" x14ac:dyDescent="0.25">
      <c r="C130" s="2">
        <v>3000</v>
      </c>
      <c r="D130" s="25">
        <f t="shared" si="16"/>
        <v>12.03977943124082</v>
      </c>
      <c r="E130" s="241"/>
      <c r="F130" s="242"/>
      <c r="G130" s="243"/>
      <c r="H130" s="234">
        <f t="shared" si="17"/>
        <v>166.72338153146325</v>
      </c>
      <c r="I130" s="234">
        <f t="shared" si="18"/>
        <v>61.491139770443951</v>
      </c>
      <c r="J130" s="234">
        <f t="shared" si="19"/>
        <v>23.464015513292424</v>
      </c>
      <c r="K130" s="240">
        <f t="shared" si="20"/>
        <v>9.3708288848973034</v>
      </c>
      <c r="L130" s="240">
        <f t="shared" si="21"/>
        <v>3.6686956248371301</v>
      </c>
      <c r="M130" s="240">
        <f t="shared" si="22"/>
        <v>1.1646736810273119</v>
      </c>
      <c r="N130" s="239">
        <f t="shared" si="23"/>
        <v>0.45267615841922182</v>
      </c>
      <c r="O130" s="239">
        <f t="shared" si="24"/>
        <v>0.1806417242782504</v>
      </c>
      <c r="P130" s="233"/>
    </row>
    <row r="131" spans="3:16" x14ac:dyDescent="0.25">
      <c r="C131" s="232">
        <v>3025</v>
      </c>
      <c r="D131" s="25">
        <f t="shared" si="16"/>
        <v>12.14011092650116</v>
      </c>
      <c r="E131" s="241"/>
      <c r="F131" s="242"/>
      <c r="G131" s="243"/>
      <c r="H131" s="234">
        <f t="shared" si="17"/>
        <v>167.39994957508048</v>
      </c>
      <c r="I131" s="234">
        <f t="shared" si="18"/>
        <v>61.746257623530255</v>
      </c>
      <c r="J131" s="234">
        <f t="shared" si="19"/>
        <v>23.561442535549109</v>
      </c>
      <c r="K131" s="240">
        <f t="shared" si="20"/>
        <v>9.4099647980334691</v>
      </c>
      <c r="L131" s="240">
        <f t="shared" si="21"/>
        <v>3.6839776575379628</v>
      </c>
      <c r="M131" s="240">
        <f t="shared" si="22"/>
        <v>1.170040639028221</v>
      </c>
      <c r="N131" s="239">
        <f t="shared" si="23"/>
        <v>0.45467157869031383</v>
      </c>
      <c r="O131" s="239">
        <f t="shared" si="24"/>
        <v>0.18148317965195662</v>
      </c>
      <c r="P131" s="233"/>
    </row>
    <row r="132" spans="3:16" x14ac:dyDescent="0.25">
      <c r="C132" s="2">
        <v>3050</v>
      </c>
      <c r="D132" s="25">
        <f t="shared" si="16"/>
        <v>12.2404424217615</v>
      </c>
      <c r="E132" s="241"/>
      <c r="F132" s="242"/>
      <c r="G132" s="243"/>
      <c r="H132" s="234">
        <f t="shared" si="17"/>
        <v>168.07366079293203</v>
      </c>
      <c r="I132" s="234">
        <f t="shared" si="18"/>
        <v>62.000321121069035</v>
      </c>
      <c r="J132" s="234">
        <f t="shared" si="19"/>
        <v>23.658467230443467</v>
      </c>
      <c r="K132" s="240">
        <f t="shared" si="20"/>
        <v>9.4489400325445132</v>
      </c>
      <c r="L132" s="240">
        <f t="shared" si="21"/>
        <v>3.6991967839434579</v>
      </c>
      <c r="M132" s="240">
        <f t="shared" si="22"/>
        <v>1.1753878508272699</v>
      </c>
      <c r="N132" s="239">
        <f t="shared" si="23"/>
        <v>0.45665926308059324</v>
      </c>
      <c r="O132" s="239">
        <f t="shared" si="24"/>
        <v>0.18232158070220209</v>
      </c>
      <c r="P132" s="233"/>
    </row>
    <row r="133" spans="3:16" x14ac:dyDescent="0.25">
      <c r="C133" s="232">
        <v>3075</v>
      </c>
      <c r="D133" s="25">
        <f t="shared" si="16"/>
        <v>12.34077391702184</v>
      </c>
      <c r="E133" s="241"/>
      <c r="F133" s="242"/>
      <c r="G133" s="243"/>
      <c r="H133" s="234">
        <f t="shared" si="17"/>
        <v>168.74455051752651</v>
      </c>
      <c r="I133" s="234">
        <f t="shared" si="18"/>
        <v>62.253343209639382</v>
      </c>
      <c r="J133" s="234">
        <f t="shared" si="19"/>
        <v>23.755094536901026</v>
      </c>
      <c r="K133" s="240">
        <f t="shared" si="20"/>
        <v>9.4877565571149223</v>
      </c>
      <c r="L133" s="240">
        <f t="shared" si="21"/>
        <v>3.7143537754659657</v>
      </c>
      <c r="M133" s="240">
        <f t="shared" si="22"/>
        <v>1.1807155500434798</v>
      </c>
      <c r="N133" s="239">
        <f t="shared" si="23"/>
        <v>0.45863930462385627</v>
      </c>
      <c r="O133" s="239">
        <f t="shared" si="24"/>
        <v>0.18315696341589408</v>
      </c>
      <c r="P133" s="233"/>
    </row>
    <row r="134" spans="3:16" x14ac:dyDescent="0.25">
      <c r="C134" s="2">
        <v>3100</v>
      </c>
      <c r="D134" s="25">
        <f t="shared" si="16"/>
        <v>12.44110541228218</v>
      </c>
      <c r="E134" s="241"/>
      <c r="F134" s="242"/>
      <c r="G134" s="243"/>
      <c r="H134" s="234">
        <f t="shared" si="17"/>
        <v>169.41265336126233</v>
      </c>
      <c r="I134" s="234">
        <f t="shared" si="18"/>
        <v>62.505336573090034</v>
      </c>
      <c r="J134" s="234">
        <f t="shared" si="19"/>
        <v>23.851329293635551</v>
      </c>
      <c r="K134" s="240">
        <f t="shared" si="20"/>
        <v>9.5264163005300233</v>
      </c>
      <c r="L134" s="240">
        <f t="shared" si="21"/>
        <v>3.7294493878756363</v>
      </c>
      <c r="M134" s="240">
        <f t="shared" si="22"/>
        <v>1.1860239656583424</v>
      </c>
      <c r="N134" s="239">
        <f t="shared" si="23"/>
        <v>0.46061179448916495</v>
      </c>
      <c r="O134" s="239">
        <f t="shared" si="24"/>
        <v>0.1839893630673054</v>
      </c>
      <c r="P134" s="233"/>
    </row>
    <row r="135" spans="3:16" x14ac:dyDescent="0.25">
      <c r="C135" s="232">
        <v>3125</v>
      </c>
      <c r="D135" s="25">
        <f t="shared" si="16"/>
        <v>12.54143690754252</v>
      </c>
      <c r="E135" s="241"/>
      <c r="F135" s="242"/>
      <c r="G135" s="243"/>
      <c r="H135" s="234">
        <f t="shared" si="17"/>
        <v>170.07800323678299</v>
      </c>
      <c r="I135" s="234">
        <f t="shared" si="18"/>
        <v>62.756313639943386</v>
      </c>
      <c r="J135" s="234">
        <f t="shared" si="19"/>
        <v>23.947176241972688</v>
      </c>
      <c r="K135" s="240">
        <f t="shared" si="20"/>
        <v>9.5649211527993323</v>
      </c>
      <c r="L135" s="240">
        <f t="shared" si="21"/>
        <v>3.744484361740974</v>
      </c>
      <c r="M135" s="240">
        <f t="shared" si="22"/>
        <v>1.1913133221444883</v>
      </c>
      <c r="N135" s="239">
        <f t="shared" si="23"/>
        <v>0.46257682203293671</v>
      </c>
      <c r="O135" s="239">
        <f t="shared" si="24"/>
        <v>0.18481881423781246</v>
      </c>
      <c r="P135" s="233"/>
    </row>
    <row r="136" spans="3:16" x14ac:dyDescent="0.25">
      <c r="C136" s="2">
        <v>3150</v>
      </c>
      <c r="D136" s="25">
        <f t="shared" si="16"/>
        <v>12.64176840280286</v>
      </c>
      <c r="E136" s="241"/>
      <c r="F136" s="242"/>
      <c r="G136" s="243"/>
      <c r="H136" s="234">
        <f t="shared" si="17"/>
        <v>170.74063337659692</v>
      </c>
      <c r="I136" s="234">
        <f t="shared" si="18"/>
        <v>63.006286590532156</v>
      </c>
      <c r="J136" s="234">
        <f t="shared" si="19"/>
        <v>24.042640028571871</v>
      </c>
      <c r="K136" s="240">
        <f t="shared" si="20"/>
        <v>9.603272966239377</v>
      </c>
      <c r="L136" s="240">
        <f t="shared" si="21"/>
        <v>3.7594594228535119</v>
      </c>
      <c r="M136" s="240">
        <f t="shared" si="22"/>
        <v>1.1965838395897619</v>
      </c>
      <c r="N136" s="239">
        <f t="shared" si="23"/>
        <v>0.46453447484916915</v>
      </c>
      <c r="O136" s="239">
        <f t="shared" si="24"/>
        <v>0.18564535083492892</v>
      </c>
      <c r="P136" s="233"/>
    </row>
    <row r="137" spans="3:16" x14ac:dyDescent="0.25">
      <c r="C137" s="232">
        <v>3175</v>
      </c>
      <c r="D137" s="25">
        <f t="shared" si="16"/>
        <v>12.7420998980632</v>
      </c>
      <c r="E137" s="241"/>
      <c r="F137" s="242"/>
      <c r="G137" s="243"/>
      <c r="H137" s="234">
        <f t="shared" si="17"/>
        <v>171.40057635199776</v>
      </c>
      <c r="I137" s="234">
        <f t="shared" si="18"/>
        <v>63.255267363882751</v>
      </c>
      <c r="J137" s="234">
        <f t="shared" si="19"/>
        <v>24.137725208051467</v>
      </c>
      <c r="K137" s="240">
        <f t="shared" si="20"/>
        <v>9.6414735565181395</v>
      </c>
      <c r="L137" s="240">
        <f t="shared" si="21"/>
        <v>3.7743752826374131</v>
      </c>
      <c r="M137" s="240">
        <f t="shared" si="22"/>
        <v>1.201835733816935</v>
      </c>
      <c r="N137" s="239">
        <f t="shared" si="23"/>
        <v>0.46648483881788733</v>
      </c>
      <c r="O137" s="239">
        <f t="shared" si="24"/>
        <v>0.1864690061106731</v>
      </c>
      <c r="P137" s="233"/>
    </row>
    <row r="138" spans="3:16" x14ac:dyDescent="0.25">
      <c r="C138" s="2">
        <v>3200</v>
      </c>
      <c r="D138" s="25">
        <f t="shared" si="16"/>
        <v>12.84243139332354</v>
      </c>
      <c r="E138" s="241"/>
      <c r="F138" s="242"/>
      <c r="G138" s="243"/>
      <c r="H138" s="234">
        <f t="shared" si="17"/>
        <v>172.05786409131255</v>
      </c>
      <c r="I138" s="234">
        <f t="shared" si="18"/>
        <v>63.503267664354475</v>
      </c>
      <c r="J138" s="234">
        <f t="shared" si="19"/>
        <v>24.232436245520837</v>
      </c>
      <c r="K138" s="240">
        <f t="shared" si="20"/>
        <v>9.6795247036623895</v>
      </c>
      <c r="L138" s="240">
        <f t="shared" si="21"/>
        <v>3.7892326385445387</v>
      </c>
      <c r="M138" s="240">
        <f t="shared" si="22"/>
        <v>1.2070692164992389</v>
      </c>
      <c r="N138" s="239">
        <f t="shared" si="23"/>
        <v>0.46842799815189007</v>
      </c>
      <c r="O138" s="239">
        <f t="shared" si="24"/>
        <v>0.18728981267929232</v>
      </c>
      <c r="P138" s="233"/>
    </row>
    <row r="139" spans="3:16" x14ac:dyDescent="0.25">
      <c r="C139" s="232">
        <v>3225</v>
      </c>
      <c r="D139" s="25">
        <f t="shared" si="16"/>
        <v>12.94276288858388</v>
      </c>
      <c r="E139" s="241"/>
      <c r="F139" s="242"/>
      <c r="G139" s="243"/>
      <c r="H139" s="234">
        <f t="shared" si="17"/>
        <v>172.71252789750909</v>
      </c>
      <c r="I139" s="234">
        <f t="shared" si="18"/>
        <v>63.750298968045882</v>
      </c>
      <c r="J139" s="234">
        <f t="shared" si="19"/>
        <v>24.326777519023718</v>
      </c>
      <c r="K139" s="240">
        <f t="shared" si="20"/>
        <v>9.7174281530298376</v>
      </c>
      <c r="L139" s="240">
        <f t="shared" si="21"/>
        <v>3.8040321744356667</v>
      </c>
      <c r="M139" s="240">
        <f t="shared" si="22"/>
        <v>1.2122844952718834</v>
      </c>
      <c r="N139" s="239">
        <f t="shared" si="23"/>
        <v>0.47036403544186683</v>
      </c>
      <c r="O139" s="239">
        <f t="shared" si="24"/>
        <v>0.18810780253437426</v>
      </c>
      <c r="P139" s="233"/>
    </row>
    <row r="140" spans="3:16" x14ac:dyDescent="0.25">
      <c r="C140" s="2">
        <v>3250</v>
      </c>
      <c r="D140" s="25">
        <f t="shared" si="16"/>
        <v>13.04309438384422</v>
      </c>
      <c r="E140" s="241"/>
      <c r="F140" s="242"/>
      <c r="G140" s="243"/>
      <c r="H140" s="234">
        <f t="shared" si="17"/>
        <v>173.36459846518815</v>
      </c>
      <c r="I140" s="234">
        <f t="shared" si="18"/>
        <v>63.996372528978199</v>
      </c>
      <c r="J140" s="234">
        <f t="shared" si="19"/>
        <v>24.420753321896477</v>
      </c>
      <c r="K140" s="240">
        <f t="shared" si="20"/>
        <v>9.7551856162474131</v>
      </c>
      <c r="L140" s="240">
        <f t="shared" si="21"/>
        <v>3.8187745609484778</v>
      </c>
      <c r="M140" s="240">
        <f t="shared" si="22"/>
        <v>1.2174817738397501</v>
      </c>
      <c r="N140" s="239">
        <f t="shared" si="23"/>
        <v>0.4722930316999529</v>
      </c>
      <c r="O140" s="239">
        <f t="shared" si="24"/>
        <v>0.18892300706537166</v>
      </c>
      <c r="P140" s="233"/>
    </row>
    <row r="141" spans="3:16" x14ac:dyDescent="0.25">
      <c r="C141" s="232">
        <v>3275</v>
      </c>
      <c r="D141" s="25">
        <f t="shared" si="16"/>
        <v>13.14342587910456</v>
      </c>
      <c r="E141" s="241"/>
      <c r="F141" s="242"/>
      <c r="G141" s="243"/>
      <c r="H141" s="234">
        <f t="shared" si="17"/>
        <v>174.01410589698636</v>
      </c>
      <c r="I141" s="234">
        <f t="shared" si="18"/>
        <v>64.24149938506487</v>
      </c>
      <c r="J141" s="234">
        <f t="shared" si="19"/>
        <v>24.514367865044782</v>
      </c>
      <c r="K141" s="240">
        <f t="shared" si="20"/>
        <v>9.7927987721170773</v>
      </c>
      <c r="L141" s="240">
        <f t="shared" si="21"/>
        <v>3.833460455852773</v>
      </c>
      <c r="M141" s="240">
        <f t="shared" si="22"/>
        <v>1.2226612520813924</v>
      </c>
      <c r="N141" s="239">
        <f t="shared" si="23"/>
        <v>0.47421506640178945</v>
      </c>
      <c r="O141" s="239">
        <f t="shared" si="24"/>
        <v>0.18973545707355979</v>
      </c>
      <c r="P141" s="233"/>
    </row>
    <row r="142" spans="3:16" x14ac:dyDescent="0.25">
      <c r="C142" s="2">
        <v>3300</v>
      </c>
      <c r="D142" s="25">
        <f t="shared" si="16"/>
        <v>13.2437573743649</v>
      </c>
      <c r="E142" s="241"/>
      <c r="F142" s="242"/>
      <c r="G142" s="243"/>
      <c r="H142" s="234">
        <f t="shared" si="17"/>
        <v>174.66107971941605</v>
      </c>
      <c r="I142" s="234">
        <f t="shared" si="18"/>
        <v>64.485690363876074</v>
      </c>
      <c r="J142" s="234">
        <f t="shared" si="19"/>
        <v>24.607625279142233</v>
      </c>
      <c r="K142" s="240">
        <f t="shared" si="20"/>
        <v>9.8302692674906567</v>
      </c>
      <c r="L142" s="240">
        <f t="shared" si="21"/>
        <v>3.8480905043935492</v>
      </c>
      <c r="M142" s="240">
        <f t="shared" si="22"/>
        <v>1.2278231261495252</v>
      </c>
      <c r="N142" s="239">
        <f t="shared" si="23"/>
        <v>0.47613021752715246</v>
      </c>
      <c r="O142" s="239">
        <f t="shared" si="24"/>
        <v>0.19054518278745797</v>
      </c>
      <c r="P142" s="233"/>
    </row>
    <row r="143" spans="3:16" x14ac:dyDescent="0.25">
      <c r="C143" s="232">
        <v>3325</v>
      </c>
      <c r="D143" s="25">
        <f t="shared" si="16"/>
        <v>13.344088869625242</v>
      </c>
      <c r="E143" s="241"/>
      <c r="F143" s="242"/>
      <c r="G143" s="243"/>
      <c r="H143" s="234">
        <f t="shared" si="17"/>
        <v>175.30554889816509</v>
      </c>
      <c r="I143" s="234">
        <f t="shared" si="18"/>
        <v>64.72895608820798</v>
      </c>
      <c r="J143" s="234">
        <f t="shared" si="19"/>
        <v>24.700529616754221</v>
      </c>
      <c r="K143" s="240">
        <f t="shared" si="20"/>
        <v>9.8675987181149214</v>
      </c>
      <c r="L143" s="240">
        <f t="shared" si="21"/>
        <v>3.8626653396224055</v>
      </c>
      <c r="M143" s="240">
        <f t="shared" si="22"/>
        <v>1.2329675885681328</v>
      </c>
      <c r="N143" s="239">
        <f t="shared" si="23"/>
        <v>0.47803856159920638</v>
      </c>
      <c r="O143" s="239">
        <f t="shared" si="24"/>
        <v>0.19135221387773174</v>
      </c>
      <c r="P143" s="233"/>
    </row>
    <row r="144" spans="3:16" x14ac:dyDescent="0.25">
      <c r="C144" s="2">
        <v>3350</v>
      </c>
      <c r="D144" s="25">
        <f t="shared" si="16"/>
        <v>13.444420364885582</v>
      </c>
      <c r="E144" s="241"/>
      <c r="F144" s="242"/>
      <c r="G144" s="243"/>
      <c r="H144" s="234">
        <f t="shared" si="17"/>
        <v>175.94754185287701</v>
      </c>
      <c r="I144" s="234">
        <f t="shared" si="18"/>
        <v>64.971306981462703</v>
      </c>
      <c r="J144" s="234">
        <f t="shared" si="19"/>
        <v>24.793084854390106</v>
      </c>
      <c r="K144" s="240">
        <f t="shared" si="20"/>
        <v>9.9047887094481109</v>
      </c>
      <c r="L144" s="240">
        <f t="shared" si="21"/>
        <v>3.8771855827177277</v>
      </c>
      <c r="M144" s="240">
        <f t="shared" si="22"/>
        <v>1.2380948283263304</v>
      </c>
      <c r="N144" s="239">
        <f t="shared" si="23"/>
        <v>0.47994017372244202</v>
      </c>
      <c r="O144" s="239">
        <f t="shared" si="24"/>
        <v>0.19215657947159714</v>
      </c>
      <c r="P144" s="233"/>
    </row>
    <row r="145" spans="3:16" x14ac:dyDescent="0.25">
      <c r="C145" s="232">
        <v>3375</v>
      </c>
      <c r="D145" s="25">
        <f t="shared" si="16"/>
        <v>13.544751860145922</v>
      </c>
      <c r="E145" s="241"/>
      <c r="F145" s="242"/>
      <c r="G145" s="243"/>
      <c r="H145" s="234">
        <f t="shared" si="17"/>
        <v>176.58708647143663</v>
      </c>
      <c r="I145" s="234">
        <f t="shared" si="18"/>
        <v>65.212753272848843</v>
      </c>
      <c r="J145" s="234">
        <f t="shared" si="19"/>
        <v>24.885294894486389</v>
      </c>
      <c r="K145" s="240">
        <f t="shared" si="20"/>
        <v>9.9418407974491387</v>
      </c>
      <c r="L145" s="240">
        <f t="shared" si="21"/>
        <v>3.8916518432941896</v>
      </c>
      <c r="M145" s="240">
        <f t="shared" si="22"/>
        <v>1.2432050309691258</v>
      </c>
      <c r="N145" s="239">
        <f t="shared" si="23"/>
        <v>0.48183512761935254</v>
      </c>
      <c r="O145" s="239">
        <f t="shared" si="24"/>
        <v>0.19295830816675041</v>
      </c>
      <c r="P145" s="233"/>
    </row>
    <row r="146" spans="3:16" x14ac:dyDescent="0.25">
      <c r="C146" s="2">
        <v>3400</v>
      </c>
      <c r="D146" s="25">
        <f t="shared" si="16"/>
        <v>13.645083355406262</v>
      </c>
      <c r="E146" s="241"/>
      <c r="F146" s="242"/>
      <c r="G146" s="243"/>
      <c r="H146" s="234">
        <f t="shared" si="17"/>
        <v>177.22421012377657</v>
      </c>
      <c r="I146" s="234">
        <f t="shared" si="18"/>
        <v>65.453305002408186</v>
      </c>
      <c r="J146" s="234">
        <f t="shared" si="19"/>
        <v>24.977163567324084</v>
      </c>
      <c r="K146" s="240">
        <f t="shared" si="20"/>
        <v>9.9787565093404922</v>
      </c>
      <c r="L146" s="240">
        <f t="shared" si="21"/>
        <v>3.9060647197019089</v>
      </c>
      <c r="M146" s="240">
        <f t="shared" si="22"/>
        <v>1.2482983786851831</v>
      </c>
      <c r="N146" s="239">
        <f t="shared" si="23"/>
        <v>0.48372349566589046</v>
      </c>
      <c r="O146" s="239">
        <f t="shared" si="24"/>
        <v>0.19375742804483911</v>
      </c>
      <c r="P146" s="233"/>
    </row>
    <row r="147" spans="3:16" x14ac:dyDescent="0.25">
      <c r="C147" s="232">
        <v>3425</v>
      </c>
      <c r="D147" s="25">
        <f t="shared" ref="D147:D209" si="25">C147/249.174</f>
        <v>13.745414850666602</v>
      </c>
      <c r="E147" s="241"/>
      <c r="F147" s="242"/>
      <c r="G147" s="243"/>
      <c r="H147" s="234">
        <f t="shared" ref="H147:H209" si="26">IF($G$15="","", IF(AND(C147&gt;=$M$6,C147&gt;=$G$15*$K$6,C147&gt;0),(C147-$G$15*$J$6)^$H$6*($I$6+C147*$L$6),"---"))</f>
        <v>177.85893967522912</v>
      </c>
      <c r="I147" s="234">
        <f t="shared" ref="I147:I209" si="27">IF($G$15="","", IF(AND(C147&gt;=$M$7,C147&gt;=$G$15*$K$7,C147&gt;0),(C147-$G$15*$J$7)^$H$7*($I$7+C147*$L$7),"---"))</f>
        <v>65.692972025876998</v>
      </c>
      <c r="J147" s="234">
        <f t="shared" ref="J147:J209" si="28">IF($G$15="","", IF(AND(C147&gt;=$M$8,C147&gt;=$G$15*$K$8,C147&gt;0),(C147-$G$15*$J$8)^$H$8*($I$8+C147*$L$8),"---"))</f>
        <v>25.068694632882611</v>
      </c>
      <c r="K147" s="234">
        <f t="shared" ref="K147:K209" si="29">IF($G$15="","", IF(AND(C147&gt;=$M$9,C147&gt;=$G$15*$K$9,C147&gt;0),(C147-$G$15*$J$9)^$H$9*($I$9+C147*$L$9),"---"))</f>
        <v>10.015537344345985</v>
      </c>
      <c r="L147" s="240">
        <f t="shared" ref="L147:L209" si="30">IF($G$15="","", IF(AND(C147&gt;=$M$10,C147&gt;=$G$15*$K$10,C147&gt;0),(C147-$G$15*$J$10)^$H$10*($I$10+C147*$L$10),"---"))</f>
        <v>3.9204247993157586</v>
      </c>
      <c r="M147" s="240">
        <f t="shared" ref="M147:M160" si="31">IF($G$15="","", IF(AND(C147&gt;=$M$11,C147&gt;=$G$15*$K$11,C147&gt;0),(C147-$G$15*$J$11)^$H$11*($I$11+C147*$L$11),"---"))</f>
        <v>1.2533750503917349</v>
      </c>
      <c r="N147" s="239">
        <f>IF($G$15="","", IF(AND(C147&gt;=$M$12,C147&gt;=$G$15*$K$12,C147&gt;0),(C147-$G$15*$J$12)^$H$12*($I$12+C147*$L$12),"---"))</f>
        <v>0.4856053489257719</v>
      </c>
      <c r="O147" s="239">
        <f>IF($G$15="","", IF(AND(C147&gt;=$M$13,C147&gt;=$G$15*$K$13,C147&gt;0),(C147-$G$15*$J$13)^$H$13*($I$13+C147*$L$13),"---"))</f>
        <v>0.19455396668449443</v>
      </c>
      <c r="P147" s="233"/>
    </row>
    <row r="148" spans="3:16" x14ac:dyDescent="0.25">
      <c r="C148" s="2">
        <v>3450</v>
      </c>
      <c r="D148" s="25">
        <f t="shared" si="25"/>
        <v>13.845746345926942</v>
      </c>
      <c r="E148" s="241"/>
      <c r="F148" s="242"/>
      <c r="G148" s="243"/>
      <c r="H148" s="234">
        <f t="shared" si="26"/>
        <v>178.49130149943707</v>
      </c>
      <c r="I148" s="234">
        <f t="shared" si="27"/>
        <v>65.931764019387458</v>
      </c>
      <c r="J148" s="234">
        <f t="shared" si="28"/>
        <v>25.159891782633032</v>
      </c>
      <c r="K148" s="234">
        <f t="shared" si="29"/>
        <v>10.052184774404346</v>
      </c>
      <c r="L148" s="240">
        <f t="shared" si="30"/>
        <v>3.9347326588151885</v>
      </c>
      <c r="M148" s="240">
        <f t="shared" si="31"/>
        <v>1.2584352218167405</v>
      </c>
      <c r="N148" s="239">
        <f>IF($G$15="","", IF(AND(C148&gt;=$M$12,C148&gt;=$G$15*$K$12,C148&gt;0),(C148-$G$15*$J$12)^$H$12*($I$12+C148*$L$12),"---"))</f>
        <v>0.4874807571836533</v>
      </c>
      <c r="O148" s="239">
        <f>IF($G$15="","", IF(AND(C148&gt;=$M$13,C148&gt;=$G$15*$K$13,C148&gt;0),(C148-$G$15*$J$13)^$H$13*($I$13+C148*$L$13),"---"))</f>
        <v>0.1953479511739416</v>
      </c>
      <c r="P148" s="233"/>
    </row>
    <row r="149" spans="3:16" x14ac:dyDescent="0.25">
      <c r="C149" s="232">
        <v>3475</v>
      </c>
      <c r="D149" s="25">
        <f t="shared" si="25"/>
        <v>13.946077841187282</v>
      </c>
      <c r="E149" s="241"/>
      <c r="F149" s="242"/>
      <c r="G149" s="243"/>
      <c r="H149" s="234">
        <f t="shared" si="26"/>
        <v>179.12132149084442</v>
      </c>
      <c r="I149" s="234">
        <f t="shared" si="27"/>
        <v>66.169690484016058</v>
      </c>
      <c r="J149" s="234">
        <f t="shared" si="28"/>
        <v>25.250758641272807</v>
      </c>
      <c r="K149" s="234">
        <f t="shared" si="29"/>
        <v>10.088700244859577</v>
      </c>
      <c r="L149" s="240">
        <f t="shared" si="30"/>
        <v>3.9489888644549218</v>
      </c>
      <c r="M149" s="240">
        <f t="shared" si="31"/>
        <v>1.2634790655783952</v>
      </c>
      <c r="N149" s="239">
        <f>IF($G$15="","", IF(AND(C149&gt;=$M$12,C149&gt;=$G$15*$K$12,C149&gt;0),(C149-$G$15*$J$12)^$H$12*($I$12+C149*$L$12),"---"))</f>
        <v>0.48934978897724191</v>
      </c>
      <c r="O149" s="239">
        <f>IF($G$15="","", IF(AND(C149&gt;=$M$13,C149&gt;=$G$15*$K$13,C149&gt;0),(C149-$G$15*$J$13)^$H$13*($I$13+C149*$L$13),"---"))</f>
        <v>0.19613940812320599</v>
      </c>
      <c r="P149" s="233"/>
    </row>
    <row r="150" spans="3:16" x14ac:dyDescent="0.25">
      <c r="C150" s="2">
        <v>3500</v>
      </c>
      <c r="D150" s="25">
        <f t="shared" si="25"/>
        <v>14.046409336447622</v>
      </c>
      <c r="E150" s="241"/>
      <c r="F150" s="242"/>
      <c r="G150" s="243"/>
      <c r="H150" s="234">
        <f t="shared" si="26"/>
        <v>179.749025076782</v>
      </c>
      <c r="I150" s="234">
        <f t="shared" si="27"/>
        <v>66.406760750185214</v>
      </c>
      <c r="J150" s="234">
        <f t="shared" si="28"/>
        <v>25.341298768404425</v>
      </c>
      <c r="K150" s="234">
        <f t="shared" si="29"/>
        <v>10.125085175128966</v>
      </c>
      <c r="L150" s="240">
        <f t="shared" si="30"/>
        <v>3.9631939723269198</v>
      </c>
      <c r="M150" s="240">
        <f t="shared" si="31"/>
        <v>1.268506751262104</v>
      </c>
      <c r="N150" s="239">
        <f>IF($G$15="","", IF(AND(C150&gt;=$M$12,C150&gt;=$G$15*$K$12,C150&gt;0),(C150-$G$15*$J$12)^$H$12*($I$12+C150*$L$12),"---"))</f>
        <v>0.49121251162837154</v>
      </c>
      <c r="O150" s="239">
        <f>IF($G$15="","", IF(AND(C150&gt;=$M$13,C150&gt;=$G$15*$K$13,C150&gt;0),(C150-$G$15*$J$13)^$H$13*($I$13+C150*$L$13),"---"))</f>
        <v>0.19692836367592872</v>
      </c>
      <c r="P150" s="233"/>
    </row>
    <row r="151" spans="3:16" x14ac:dyDescent="0.25">
      <c r="C151" s="232">
        <v>3525</v>
      </c>
      <c r="D151" s="25">
        <f t="shared" si="25"/>
        <v>14.146740831707962</v>
      </c>
      <c r="E151" s="241"/>
      <c r="F151" s="242"/>
      <c r="G151" s="243"/>
      <c r="H151" s="234">
        <f t="shared" si="26"/>
        <v>180.37443722916441</v>
      </c>
      <c r="I151" s="234">
        <f t="shared" si="27"/>
        <v>66.642983981923464</v>
      </c>
      <c r="J151" s="234">
        <f t="shared" si="28"/>
        <v>25.431515660160443</v>
      </c>
      <c r="K151" s="234">
        <f t="shared" si="29"/>
        <v>10.161340959349781</v>
      </c>
      <c r="L151" s="240">
        <f t="shared" si="30"/>
        <v>3.977348528613958</v>
      </c>
      <c r="M151" s="240">
        <f t="shared" si="31"/>
        <v>1.2735184454950208</v>
      </c>
      <c r="N151" s="244"/>
      <c r="O151" s="244"/>
      <c r="P151" s="233"/>
    </row>
    <row r="152" spans="3:16" x14ac:dyDescent="0.25">
      <c r="C152" s="2">
        <v>3550</v>
      </c>
      <c r="D152" s="25">
        <f t="shared" si="25"/>
        <v>14.247072326968302</v>
      </c>
      <c r="E152" s="241"/>
      <c r="F152" s="242"/>
      <c r="G152" s="243"/>
      <c r="H152" s="234">
        <f t="shared" si="26"/>
        <v>180.99758247581258</v>
      </c>
      <c r="I152" s="234">
        <f t="shared" si="27"/>
        <v>66.878369180989594</v>
      </c>
      <c r="J152" s="234">
        <f t="shared" si="28"/>
        <v>25.521412750776285</v>
      </c>
      <c r="K152" s="234">
        <f t="shared" si="29"/>
        <v>10.197468967005225</v>
      </c>
      <c r="L152" s="240">
        <f t="shared" si="30"/>
        <v>3.9914530698350847</v>
      </c>
      <c r="M152" s="240">
        <f t="shared" si="31"/>
        <v>1.2785143120182254</v>
      </c>
      <c r="N152" s="244"/>
      <c r="O152" s="244"/>
      <c r="P152" s="233"/>
    </row>
    <row r="153" spans="3:16" x14ac:dyDescent="0.25">
      <c r="C153" s="232">
        <v>3575</v>
      </c>
      <c r="D153" s="25">
        <f t="shared" si="25"/>
        <v>14.347403822228642</v>
      </c>
      <c r="E153" s="241"/>
      <c r="F153" s="242"/>
      <c r="G153" s="243"/>
      <c r="H153" s="234">
        <f t="shared" si="26"/>
        <v>181.6184849114189</v>
      </c>
      <c r="I153" s="234">
        <f t="shared" si="27"/>
        <v>67.11292519086706</v>
      </c>
      <c r="J153" s="234">
        <f t="shared" si="28"/>
        <v>25.610993414113796</v>
      </c>
      <c r="K153" s="234">
        <f t="shared" si="29"/>
        <v>10.23347054353076</v>
      </c>
      <c r="L153" s="240">
        <f t="shared" si="30"/>
        <v>4.005508123083354</v>
      </c>
      <c r="M153" s="240">
        <f t="shared" si="31"/>
        <v>1.283494511756667</v>
      </c>
      <c r="N153" s="244"/>
      <c r="O153" s="244"/>
      <c r="P153" s="233"/>
    </row>
    <row r="154" spans="3:16" x14ac:dyDescent="0.25">
      <c r="C154" s="2">
        <v>3600</v>
      </c>
      <c r="D154" s="25">
        <f t="shared" si="25"/>
        <v>14.447735317488982</v>
      </c>
      <c r="E154" s="241"/>
      <c r="F154" s="242"/>
      <c r="G154" s="243"/>
      <c r="H154" s="234">
        <f t="shared" si="26"/>
        <v>182.2371682081646</v>
      </c>
      <c r="I154" s="234">
        <f t="shared" si="27"/>
        <v>67.346660700631986</v>
      </c>
      <c r="J154" s="234">
        <f t="shared" si="28"/>
        <v>25.700260965136493</v>
      </c>
      <c r="K154" s="234">
        <f t="shared" si="29"/>
        <v>10.269347010901274</v>
      </c>
      <c r="L154" s="240">
        <f t="shared" si="30"/>
        <v>4.0195142062560736</v>
      </c>
      <c r="M154" s="240">
        <f t="shared" si="31"/>
        <v>1.2884592028869104</v>
      </c>
      <c r="N154" s="244"/>
      <c r="O154" s="244"/>
      <c r="P154" s="233"/>
    </row>
    <row r="155" spans="3:16" x14ac:dyDescent="0.25">
      <c r="C155" s="232">
        <v>3625</v>
      </c>
      <c r="D155" s="25">
        <f t="shared" si="25"/>
        <v>14.548066812749324</v>
      </c>
      <c r="E155" s="241"/>
      <c r="F155" s="242"/>
      <c r="G155" s="243"/>
      <c r="H155" s="234">
        <f t="shared" si="26"/>
        <v>182.85365562600768</v>
      </c>
      <c r="I155" s="234">
        <f t="shared" si="27"/>
        <v>67.57958424870111</v>
      </c>
      <c r="J155" s="234">
        <f t="shared" si="28"/>
        <v>25.78921866133901</v>
      </c>
      <c r="K155" s="234">
        <f t="shared" si="29"/>
        <v>10.305099668199963</v>
      </c>
      <c r="L155" s="240">
        <f t="shared" si="30"/>
        <v>4.0334718282778708</v>
      </c>
      <c r="M155" s="240">
        <f t="shared" si="31"/>
        <v>1.2934085409028138</v>
      </c>
      <c r="N155" s="244"/>
      <c r="O155" s="244"/>
      <c r="P155" s="233"/>
    </row>
    <row r="156" spans="3:16" x14ac:dyDescent="0.25">
      <c r="C156" s="2">
        <v>3650</v>
      </c>
      <c r="D156" s="25">
        <f t="shared" si="25"/>
        <v>14.648398308009664</v>
      </c>
      <c r="E156" s="241"/>
      <c r="F156" s="242"/>
      <c r="G156" s="243"/>
      <c r="H156" s="234">
        <f t="shared" si="26"/>
        <v>183.46797002264864</v>
      </c>
      <c r="I156" s="234">
        <f t="shared" si="27"/>
        <v>67.811704226463277</v>
      </c>
      <c r="J156" s="234">
        <f t="shared" si="28"/>
        <v>25.877869704132234</v>
      </c>
      <c r="K156" s="234">
        <f t="shared" si="29"/>
        <v>10.340729792169624</v>
      </c>
      <c r="L156" s="240">
        <f t="shared" si="30"/>
        <v>4.0473814893168623</v>
      </c>
      <c r="M156" s="240">
        <f t="shared" si="31"/>
        <v>1.2983426786791863</v>
      </c>
      <c r="N156" s="244"/>
      <c r="O156" s="244"/>
      <c r="P156" s="233"/>
    </row>
    <row r="157" spans="3:16" x14ac:dyDescent="0.25">
      <c r="C157" s="232">
        <v>3675</v>
      </c>
      <c r="D157" s="25">
        <f t="shared" si="25"/>
        <v>14.748729803270004</v>
      </c>
      <c r="E157" s="241"/>
      <c r="F157" s="242"/>
      <c r="G157" s="243"/>
      <c r="H157" s="234">
        <f t="shared" si="26"/>
        <v>184.08013386319064</v>
      </c>
      <c r="I157" s="234">
        <f t="shared" si="27"/>
        <v>68.043028881799273</v>
      </c>
      <c r="J157" s="234">
        <f t="shared" si="28"/>
        <v>25.966217240185745</v>
      </c>
      <c r="K157" s="234">
        <f t="shared" si="29"/>
        <v>10.376238637747004</v>
      </c>
      <c r="L157" s="240">
        <f t="shared" si="30"/>
        <v>4.0612436809941501</v>
      </c>
      <c r="M157" s="240">
        <f t="shared" si="31"/>
        <v>1.3032617665335129</v>
      </c>
      <c r="N157" s="244"/>
      <c r="O157" s="244"/>
      <c r="P157" s="233"/>
    </row>
    <row r="158" spans="3:16" x14ac:dyDescent="0.25">
      <c r="C158" s="2">
        <v>3700</v>
      </c>
      <c r="D158" s="25">
        <f t="shared" si="25"/>
        <v>14.849061298530344</v>
      </c>
      <c r="E158" s="241"/>
      <c r="F158" s="242"/>
      <c r="G158" s="243"/>
      <c r="H158" s="234">
        <f t="shared" si="26"/>
        <v>184.69016922950348</v>
      </c>
      <c r="I158" s="234">
        <f t="shared" si="27"/>
        <v>68.27356632249392</v>
      </c>
      <c r="J158" s="234">
        <f t="shared" si="28"/>
        <v>26.054264362729317</v>
      </c>
      <c r="K158" s="234">
        <f t="shared" si="29"/>
        <v>10.411627438580775</v>
      </c>
      <c r="L158" s="240">
        <f t="shared" si="30"/>
        <v>4.0750588865869446</v>
      </c>
      <c r="M158" s="240">
        <f t="shared" si="31"/>
        <v>1.3081659522858144</v>
      </c>
      <c r="N158" s="244"/>
      <c r="O158" s="244"/>
      <c r="P158" s="233"/>
    </row>
    <row r="159" spans="3:16" x14ac:dyDescent="0.25">
      <c r="C159" s="232">
        <v>3725</v>
      </c>
      <c r="D159" s="25">
        <f t="shared" si="25"/>
        <v>14.949392793790684</v>
      </c>
      <c r="E159" s="241"/>
      <c r="F159" s="242"/>
      <c r="G159" s="243"/>
      <c r="H159" s="234">
        <f t="shared" si="26"/>
        <v>185.2980978293011</v>
      </c>
      <c r="I159" s="234">
        <f t="shared" si="27"/>
        <v>68.50332451954489</v>
      </c>
      <c r="J159" s="234">
        <f t="shared" si="28"/>
        <v>26.142014112814717</v>
      </c>
      <c r="K159" s="234">
        <f t="shared" si="29"/>
        <v>10.446897407533802</v>
      </c>
      <c r="L159" s="240">
        <f t="shared" si="30"/>
        <v>4.0888275812254964</v>
      </c>
      <c r="M159" s="240">
        <f t="shared" si="31"/>
        <v>1.3130553813167118</v>
      </c>
      <c r="N159" s="244"/>
      <c r="O159" s="244"/>
      <c r="P159" s="233"/>
    </row>
    <row r="160" spans="3:16" x14ac:dyDescent="0.25">
      <c r="C160" s="2">
        <v>3750</v>
      </c>
      <c r="D160" s="25">
        <f t="shared" si="25"/>
        <v>15.049724289051024</v>
      </c>
      <c r="E160" s="241"/>
      <c r="F160" s="242"/>
      <c r="G160" s="243"/>
      <c r="H160" s="234">
        <f t="shared" si="26"/>
        <v>185.90394100494689</v>
      </c>
      <c r="I160" s="234">
        <f t="shared" si="27"/>
        <v>68.73231131037133</v>
      </c>
      <c r="J160" s="234">
        <f t="shared" si="28"/>
        <v>26.229469480539755</v>
      </c>
      <c r="K160" s="234">
        <f t="shared" si="29"/>
        <v>10.482049737170351</v>
      </c>
      <c r="L160" s="240">
        <f t="shared" si="30"/>
        <v>4.1025502320841127</v>
      </c>
      <c r="M160" s="240">
        <f t="shared" si="31"/>
        <v>1.3179301966237609</v>
      </c>
      <c r="N160" s="244"/>
      <c r="O160" s="244"/>
      <c r="P160" s="233"/>
    </row>
    <row r="161" spans="3:16" x14ac:dyDescent="0.25">
      <c r="C161" s="232">
        <v>3775</v>
      </c>
      <c r="D161" s="25">
        <f t="shared" si="25"/>
        <v>15.150055784311364</v>
      </c>
      <c r="E161" s="241"/>
      <c r="F161" s="242"/>
      <c r="G161" s="243"/>
      <c r="H161" s="234">
        <f t="shared" si="26"/>
        <v>186.50771974199202</v>
      </c>
      <c r="I161" s="234">
        <f t="shared" si="27"/>
        <v>68.960534401926694</v>
      </c>
      <c r="J161" s="234">
        <f t="shared" si="28"/>
        <v>26.316633406235336</v>
      </c>
      <c r="K161" s="234">
        <f t="shared" si="29"/>
        <v>10.51708560022859</v>
      </c>
      <c r="L161" s="240">
        <f t="shared" si="30"/>
        <v>4.1162272985664359</v>
      </c>
      <c r="M161" s="245"/>
      <c r="N161" s="244"/>
      <c r="O161" s="244"/>
      <c r="P161" s="233"/>
    </row>
    <row r="162" spans="3:16" x14ac:dyDescent="0.25">
      <c r="C162" s="2">
        <v>3800</v>
      </c>
      <c r="D162" s="25">
        <f t="shared" si="25"/>
        <v>15.250387279571704</v>
      </c>
      <c r="E162" s="241"/>
      <c r="F162" s="242"/>
      <c r="G162" s="243"/>
      <c r="H162" s="234">
        <f t="shared" si="26"/>
        <v>187.10945467746211</v>
      </c>
      <c r="I162" s="234">
        <f t="shared" si="27"/>
        <v>69.188001373718649</v>
      </c>
      <c r="J162" s="234">
        <f t="shared" si="28"/>
        <v>26.403508781617521</v>
      </c>
      <c r="K162" s="234">
        <f t="shared" si="29"/>
        <v>10.552006150079139</v>
      </c>
      <c r="L162" s="240">
        <f t="shared" si="30"/>
        <v>4.1298592324852379</v>
      </c>
      <c r="M162" s="245"/>
      <c r="N162" s="244"/>
      <c r="O162" s="244"/>
      <c r="P162" s="233"/>
    </row>
    <row r="163" spans="3:16" x14ac:dyDescent="0.25">
      <c r="C163" s="232">
        <v>3825</v>
      </c>
      <c r="D163" s="25">
        <f t="shared" si="25"/>
        <v>15.350718774832044</v>
      </c>
      <c r="E163" s="241"/>
      <c r="F163" s="242"/>
      <c r="G163" s="243"/>
      <c r="H163" s="234">
        <f t="shared" si="26"/>
        <v>187.7091661078951</v>
      </c>
      <c r="I163" s="234">
        <f t="shared" si="27"/>
        <v>69.414719680740006</v>
      </c>
      <c r="J163" s="234">
        <f t="shared" si="28"/>
        <v>26.49009845090514</v>
      </c>
      <c r="K163" s="234">
        <f t="shared" si="29"/>
        <v>10.586812521170019</v>
      </c>
      <c r="L163" s="240">
        <f t="shared" si="30"/>
        <v>4.1434464782368439</v>
      </c>
      <c r="M163" s="245"/>
      <c r="N163" s="244"/>
      <c r="O163" s="244"/>
      <c r="P163" s="233"/>
    </row>
    <row r="164" spans="3:16" x14ac:dyDescent="0.25">
      <c r="C164" s="2">
        <v>3850</v>
      </c>
      <c r="D164" s="25">
        <f t="shared" si="25"/>
        <v>15.451050270092384</v>
      </c>
      <c r="E164" s="241"/>
      <c r="F164" s="108"/>
      <c r="G164" s="243"/>
      <c r="H164" s="234">
        <f t="shared" si="26"/>
        <v>188.30687399714475</v>
      </c>
      <c r="I164" s="234">
        <f t="shared" si="27"/>
        <v>69.64069665631321</v>
      </c>
      <c r="J164" s="234">
        <f t="shared" si="28"/>
        <v>26.576405211904994</v>
      </c>
      <c r="K164" s="234">
        <f t="shared" si="29"/>
        <v>10.621505829458567</v>
      </c>
      <c r="L164" s="240">
        <f t="shared" si="30"/>
        <v>4.1569894729705288</v>
      </c>
      <c r="M164" s="245"/>
      <c r="N164" s="244"/>
      <c r="O164" s="244"/>
      <c r="P164" s="233"/>
    </row>
    <row r="165" spans="3:16" x14ac:dyDescent="0.25">
      <c r="C165" s="232">
        <v>3875</v>
      </c>
      <c r="D165" s="25">
        <f t="shared" si="25"/>
        <v>15.551381765352724</v>
      </c>
      <c r="E165" s="241"/>
      <c r="F165" s="108"/>
      <c r="G165" s="243"/>
      <c r="H165" s="234">
        <f t="shared" si="26"/>
        <v>188.90259798395539</v>
      </c>
      <c r="I165" s="234">
        <f t="shared" si="27"/>
        <v>69.865939514852286</v>
      </c>
      <c r="J165" s="234">
        <f t="shared" si="28"/>
        <v>26.662431817065112</v>
      </c>
      <c r="K165" s="234">
        <f t="shared" si="29"/>
        <v>10.656087172830755</v>
      </c>
      <c r="L165" s="240">
        <f t="shared" si="30"/>
        <v>4.1704886467528643</v>
      </c>
      <c r="M165" s="245"/>
      <c r="N165" s="244"/>
      <c r="O165" s="244"/>
      <c r="P165" s="233"/>
    </row>
    <row r="166" spans="3:16" x14ac:dyDescent="0.25">
      <c r="C166" s="2">
        <v>3900</v>
      </c>
      <c r="D166" s="25">
        <f t="shared" si="25"/>
        <v>15.651713260613064</v>
      </c>
      <c r="E166" s="241"/>
      <c r="F166" s="108"/>
      <c r="G166" s="243"/>
      <c r="H166" s="234">
        <f t="shared" si="26"/>
        <v>189.49635738931585</v>
      </c>
      <c r="I166" s="234">
        <f t="shared" si="27"/>
        <v>70.090455354544204</v>
      </c>
      <c r="J166" s="234">
        <f t="shared" si="28"/>
        <v>26.748180974497551</v>
      </c>
      <c r="K166" s="234">
        <f t="shared" si="29"/>
        <v>10.690557631508312</v>
      </c>
      <c r="L166" s="240">
        <f t="shared" si="30"/>
        <v>4.1839444227273912</v>
      </c>
      <c r="M166" s="245"/>
      <c r="N166" s="244"/>
      <c r="O166" s="244"/>
      <c r="P166" s="233"/>
    </row>
    <row r="167" spans="3:16" x14ac:dyDescent="0.25">
      <c r="C167" s="232">
        <v>3925</v>
      </c>
      <c r="D167" s="25">
        <f t="shared" si="25"/>
        <v>15.752044755873404</v>
      </c>
      <c r="E167" s="241"/>
      <c r="F167" s="108"/>
      <c r="G167" s="243"/>
      <c r="H167" s="234">
        <f t="shared" si="26"/>
        <v>190.08817122360165</v>
      </c>
      <c r="I167" s="234">
        <f t="shared" si="27"/>
        <v>70.3142511599534</v>
      </c>
      <c r="J167" s="234">
        <f t="shared" si="28"/>
        <v>26.833655348971753</v>
      </c>
      <c r="K167" s="234">
        <f t="shared" si="29"/>
        <v>10.724918268444242</v>
      </c>
      <c r="L167" s="240">
        <f t="shared" si="30"/>
        <v>4.1973572172696594</v>
      </c>
      <c r="M167" s="245"/>
      <c r="N167" s="244"/>
      <c r="O167" s="244"/>
      <c r="P167" s="233"/>
    </row>
    <row r="168" spans="3:16" x14ac:dyDescent="0.25">
      <c r="C168" s="2">
        <v>3950</v>
      </c>
      <c r="D168" s="25">
        <f t="shared" si="25"/>
        <v>15.852376251133746</v>
      </c>
      <c r="E168" s="241"/>
      <c r="F168" s="108"/>
      <c r="G168" s="243"/>
      <c r="H168" s="234">
        <f t="shared" si="26"/>
        <v>190.67805819351193</v>
      </c>
      <c r="I168" s="234">
        <f t="shared" si="27"/>
        <v>70.537333804551295</v>
      </c>
      <c r="J168" s="234">
        <f t="shared" si="28"/>
        <v>26.918857562879449</v>
      </c>
      <c r="K168" s="234">
        <f t="shared" si="29"/>
        <v>10.759170129706845</v>
      </c>
      <c r="L168" s="240">
        <f t="shared" si="30"/>
        <v>4.210727440137803</v>
      </c>
      <c r="M168" s="245"/>
      <c r="N168" s="244"/>
      <c r="O168" s="244"/>
      <c r="P168" s="233"/>
    </row>
    <row r="169" spans="3:16" x14ac:dyDescent="0.25">
      <c r="C169" s="232">
        <v>3975</v>
      </c>
      <c r="D169" s="25">
        <f t="shared" si="25"/>
        <v>15.952707746394086</v>
      </c>
      <c r="E169" s="241"/>
      <c r="F169" s="108"/>
      <c r="G169" s="243"/>
      <c r="H169" s="234">
        <f t="shared" si="26"/>
        <v>191.26603670880928</v>
      </c>
      <c r="I169" s="234">
        <f t="shared" si="27"/>
        <v>70.759710053174601</v>
      </c>
      <c r="J169" s="234">
        <f t="shared" si="28"/>
        <v>27.003790197172219</v>
      </c>
      <c r="K169" s="234">
        <f t="shared" si="29"/>
        <v>10.793314244853045</v>
      </c>
      <c r="L169" s="240">
        <f t="shared" si="30"/>
        <v>4.2240554946188915</v>
      </c>
      <c r="M169" s="245"/>
      <c r="N169" s="244"/>
      <c r="O169" s="244"/>
      <c r="P169" s="233"/>
    </row>
    <row r="170" spans="3:16" x14ac:dyDescent="0.25">
      <c r="C170" s="2">
        <v>4000</v>
      </c>
      <c r="D170" s="25">
        <f t="shared" si="25"/>
        <v>16.053039241654425</v>
      </c>
      <c r="E170" s="241"/>
      <c r="F170" s="108"/>
      <c r="G170" s="243"/>
      <c r="H170" s="234">
        <f t="shared" si="26"/>
        <v>191.85212488886702</v>
      </c>
      <c r="I170" s="234">
        <f t="shared" si="27"/>
        <v>70.981386564413228</v>
      </c>
      <c r="J170" s="234">
        <f t="shared" si="28"/>
        <v>27.088455792272306</v>
      </c>
      <c r="K170" s="234">
        <f t="shared" si="29"/>
        <v>10.827351627290984</v>
      </c>
      <c r="L170" s="240">
        <f t="shared" si="30"/>
        <v>4.2373417776711069</v>
      </c>
      <c r="M170" s="245"/>
      <c r="N170" s="244"/>
      <c r="O170" s="244"/>
      <c r="P170" s="233"/>
    </row>
    <row r="171" spans="3:16" x14ac:dyDescent="0.25">
      <c r="C171" s="232">
        <v>4025</v>
      </c>
      <c r="D171" s="25">
        <f t="shared" si="25"/>
        <v>16.153370736914766</v>
      </c>
      <c r="E171" s="241"/>
      <c r="F171" s="108"/>
      <c r="G171" s="243"/>
      <c r="H171" s="234">
        <f t="shared" si="26"/>
        <v>192.43634056903466</v>
      </c>
      <c r="I171" s="234">
        <f t="shared" si="27"/>
        <v>71.20236989293204</v>
      </c>
      <c r="J171" s="234">
        <f t="shared" si="28"/>
        <v>27.172856848958112</v>
      </c>
      <c r="K171" s="234">
        <f t="shared" si="29"/>
        <v>10.861283274632536</v>
      </c>
      <c r="L171" s="240">
        <f t="shared" si="30"/>
        <v>4.2505866800619465</v>
      </c>
      <c r="M171" s="245"/>
      <c r="N171" s="244"/>
      <c r="O171" s="244"/>
      <c r="P171" s="233"/>
    </row>
    <row r="172" spans="3:16" x14ac:dyDescent="0.25">
      <c r="C172" s="2">
        <v>4050</v>
      </c>
      <c r="D172" s="25">
        <f t="shared" si="25"/>
        <v>16.253702232175105</v>
      </c>
      <c r="E172" s="241"/>
      <c r="F172" s="108"/>
      <c r="G172" s="243"/>
      <c r="H172" s="234">
        <f t="shared" si="26"/>
        <v>193.01870130682255</v>
      </c>
      <c r="I172" s="234">
        <f t="shared" si="27"/>
        <v>71.422666491726815</v>
      </c>
      <c r="J172" s="234">
        <f t="shared" si="28"/>
        <v>27.256995829224874</v>
      </c>
      <c r="K172" s="234">
        <f t="shared" si="29"/>
        <v>10.895110169035975</v>
      </c>
      <c r="L172" s="240">
        <f t="shared" si="30"/>
        <v>4.2637905865025418</v>
      </c>
      <c r="M172" s="245"/>
      <c r="N172" s="244"/>
      <c r="O172" s="244"/>
      <c r="P172" s="233"/>
    </row>
    <row r="173" spans="3:16" x14ac:dyDescent="0.25">
      <c r="C173" s="232">
        <v>4075</v>
      </c>
      <c r="D173" s="25">
        <f t="shared" si="25"/>
        <v>16.354033727435446</v>
      </c>
      <c r="E173" s="241"/>
      <c r="F173" s="108"/>
      <c r="G173" s="243"/>
      <c r="H173" s="234">
        <f t="shared" si="26"/>
        <v>193.59922438791631</v>
      </c>
      <c r="I173" s="234">
        <f t="shared" si="27"/>
        <v>71.642282714318696</v>
      </c>
      <c r="J173" s="234">
        <f t="shared" si="28"/>
        <v>27.340875157121403</v>
      </c>
      <c r="K173" s="234">
        <f t="shared" si="29"/>
        <v>10.928833277539118</v>
      </c>
      <c r="L173" s="240">
        <f t="shared" si="30"/>
        <v>4.2769538757783154</v>
      </c>
      <c r="M173" s="245"/>
      <c r="N173" s="244"/>
      <c r="O173" s="244"/>
      <c r="P173" s="233"/>
    </row>
    <row r="174" spans="3:16" x14ac:dyDescent="0.25">
      <c r="C174" s="2">
        <v>4100</v>
      </c>
      <c r="D174" s="25">
        <f t="shared" si="25"/>
        <v>16.454365222695788</v>
      </c>
      <c r="E174" s="241"/>
      <c r="F174" s="108"/>
      <c r="G174" s="243"/>
      <c r="H174" s="234">
        <f t="shared" si="26"/>
        <v>194.17792683202467</v>
      </c>
      <c r="I174" s="234">
        <f t="shared" si="27"/>
        <v>71.861224816887116</v>
      </c>
      <c r="J174" s="234">
        <f t="shared" si="28"/>
        <v>27.424497219563889</v>
      </c>
      <c r="K174" s="234">
        <f t="shared" si="29"/>
        <v>10.962453552383334</v>
      </c>
      <c r="L174" s="240">
        <f t="shared" si="30"/>
        <v>4.2900769208759497</v>
      </c>
      <c r="M174" s="245"/>
      <c r="N174" s="244"/>
      <c r="O174" s="244"/>
      <c r="P174" s="233"/>
    </row>
    <row r="175" spans="3:16" x14ac:dyDescent="0.25">
      <c r="C175" s="232">
        <v>4125</v>
      </c>
      <c r="D175" s="25">
        <f t="shared" si="25"/>
        <v>16.554696717956126</v>
      </c>
      <c r="E175" s="241"/>
      <c r="F175" s="108"/>
      <c r="G175" s="243"/>
      <c r="H175" s="234">
        <f t="shared" si="26"/>
        <v>194.75482539856623</v>
      </c>
      <c r="I175" s="234">
        <f t="shared" si="27"/>
        <v>72.07949896034502</v>
      </c>
      <c r="J175" s="234">
        <f t="shared" si="28"/>
        <v>27.507864367127333</v>
      </c>
      <c r="K175" s="234">
        <f t="shared" si="29"/>
        <v>10.99597193132861</v>
      </c>
      <c r="L175" s="240">
        <f t="shared" si="30"/>
        <v>4.3031600891069548</v>
      </c>
      <c r="M175" s="245"/>
      <c r="N175" s="244"/>
      <c r="O175" s="244"/>
      <c r="P175" s="233"/>
    </row>
    <row r="176" spans="3:16" x14ac:dyDescent="0.25">
      <c r="C176" s="2">
        <v>4150</v>
      </c>
      <c r="D176" s="25">
        <f t="shared" si="25"/>
        <v>16.655028213216468</v>
      </c>
      <c r="E176" s="241"/>
      <c r="F176" s="108"/>
      <c r="G176" s="243"/>
      <c r="H176" s="234">
        <f t="shared" si="26"/>
        <v>195.32993659220094</v>
      </c>
      <c r="I176" s="234">
        <f t="shared" si="27"/>
        <v>72.297111212357237</v>
      </c>
      <c r="J176" s="234">
        <f t="shared" si="28"/>
        <v>27.590978914815242</v>
      </c>
      <c r="K176" s="234">
        <f t="shared" si="29"/>
        <v>11.029389337960117</v>
      </c>
      <c r="L176" s="240">
        <f t="shared" si="30"/>
        <v>4.3162037422278221</v>
      </c>
      <c r="M176" s="245"/>
      <c r="N176" s="244"/>
      <c r="O176" s="244"/>
      <c r="P176" s="233"/>
    </row>
    <row r="177" spans="3:16" x14ac:dyDescent="0.25">
      <c r="C177" s="232">
        <v>4175</v>
      </c>
      <c r="D177" s="25">
        <f t="shared" si="25"/>
        <v>16.755359708476806</v>
      </c>
      <c r="E177" s="241"/>
      <c r="F177" s="108"/>
      <c r="G177" s="243"/>
      <c r="H177" s="234">
        <f t="shared" si="26"/>
        <v>195.90327666821247</v>
      </c>
      <c r="I177" s="234">
        <f t="shared" si="27"/>
        <v>72.514067549304102</v>
      </c>
      <c r="J177" s="234">
        <f t="shared" si="28"/>
        <v>27.673843142808966</v>
      </c>
      <c r="K177" s="234">
        <f t="shared" si="29"/>
        <v>11.062706681986423</v>
      </c>
      <c r="L177" s="240">
        <f t="shared" si="30"/>
        <v>4.3292082365569593</v>
      </c>
      <c r="M177" s="245"/>
      <c r="N177" s="244"/>
      <c r="O177" s="244"/>
      <c r="P177" s="233"/>
    </row>
    <row r="178" spans="3:16" x14ac:dyDescent="0.25">
      <c r="C178" s="2">
        <v>4200</v>
      </c>
      <c r="D178" s="25">
        <f t="shared" si="25"/>
        <v>16.855691203737148</v>
      </c>
      <c r="E178" s="241"/>
      <c r="F178" s="108"/>
      <c r="G178" s="243"/>
      <c r="H178" s="234">
        <f t="shared" si="26"/>
        <v>196.47486163774457</v>
      </c>
      <c r="I178" s="234">
        <f t="shared" si="27"/>
        <v>72.730373858192706</v>
      </c>
      <c r="J178" s="234">
        <f t="shared" si="28"/>
        <v>27.7564592971964</v>
      </c>
      <c r="K178" s="234">
        <f t="shared" si="29"/>
        <v>11.095924859529751</v>
      </c>
      <c r="L178" s="240">
        <f t="shared" si="30"/>
        <v>4.3421739230884562</v>
      </c>
      <c r="M178" s="245"/>
      <c r="N178" s="244"/>
      <c r="O178" s="244"/>
      <c r="P178" s="233"/>
    </row>
    <row r="179" spans="3:16" x14ac:dyDescent="0.25">
      <c r="C179" s="232">
        <v>4225</v>
      </c>
      <c r="D179" s="25">
        <f t="shared" si="25"/>
        <v>16.956022698997486</v>
      </c>
      <c r="E179" s="241"/>
      <c r="F179" s="108"/>
      <c r="G179" s="243"/>
      <c r="H179" s="234">
        <f t="shared" si="26"/>
        <v>197.04470727289598</v>
      </c>
      <c r="I179" s="234">
        <f t="shared" si="27"/>
        <v>72.946035938516204</v>
      </c>
      <c r="J179" s="234">
        <f t="shared" si="28"/>
        <v>27.838829590681243</v>
      </c>
      <c r="K179" s="234">
        <f t="shared" si="29"/>
        <v>11.129044753408364</v>
      </c>
      <c r="L179" s="240">
        <f t="shared" si="30"/>
        <v>4.3551011476028192</v>
      </c>
      <c r="M179" s="245"/>
      <c r="N179" s="244"/>
      <c r="O179" s="244"/>
      <c r="P179" s="233"/>
    </row>
    <row r="180" spans="3:16" x14ac:dyDescent="0.25">
      <c r="C180" s="2">
        <v>4250</v>
      </c>
      <c r="D180" s="25">
        <f t="shared" si="25"/>
        <v>17.056354194257828</v>
      </c>
      <c r="E180" s="241"/>
      <c r="F180" s="108"/>
      <c r="G180" s="243"/>
      <c r="H180" s="234">
        <f t="shared" si="26"/>
        <v>197.6128291116824</v>
      </c>
      <c r="I180" s="234">
        <f t="shared" si="27"/>
        <v>73.161059504064653</v>
      </c>
      <c r="J180" s="234">
        <f t="shared" si="28"/>
        <v>27.920956203273867</v>
      </c>
      <c r="K180" s="234">
        <f t="shared" si="29"/>
        <v>11.162067233411632</v>
      </c>
      <c r="L180" s="240">
        <f t="shared" si="30"/>
        <v>4.3679902507747679</v>
      </c>
      <c r="M180" s="245"/>
      <c r="N180" s="244"/>
      <c r="O180" s="244"/>
      <c r="P180" s="233"/>
    </row>
    <row r="181" spans="3:16" x14ac:dyDescent="0.25">
      <c r="C181" s="232">
        <v>4275</v>
      </c>
      <c r="D181" s="25">
        <f t="shared" si="25"/>
        <v>17.156685689518167</v>
      </c>
      <c r="E181" s="241"/>
      <c r="F181" s="108"/>
      <c r="G181" s="243"/>
      <c r="H181" s="234">
        <f t="shared" si="26"/>
        <v>198.1792424628635</v>
      </c>
      <c r="I181" s="234">
        <f t="shared" si="27"/>
        <v>73.375450184687125</v>
      </c>
      <c r="J181" s="234">
        <f t="shared" si="28"/>
        <v>28.002841282963175</v>
      </c>
      <c r="K181" s="234">
        <f t="shared" si="29"/>
        <v>11.194993156567568</v>
      </c>
      <c r="L181" s="240">
        <f t="shared" si="30"/>
        <v>4.3808415682781563</v>
      </c>
      <c r="M181" s="245"/>
      <c r="N181" s="244"/>
      <c r="O181" s="244"/>
      <c r="P181" s="233"/>
    </row>
    <row r="182" spans="3:16" x14ac:dyDescent="0.25">
      <c r="C182" s="2">
        <v>4300</v>
      </c>
      <c r="D182" s="25">
        <f t="shared" si="25"/>
        <v>17.257017184778508</v>
      </c>
      <c r="E182" s="241"/>
      <c r="F182" s="108"/>
      <c r="G182" s="243"/>
      <c r="H182" s="234">
        <f t="shared" si="26"/>
        <v>198.74396241064565</v>
      </c>
      <c r="I182" s="234">
        <f t="shared" si="27"/>
        <v>73.589213528007875</v>
      </c>
      <c r="J182" s="234">
        <f t="shared" si="28"/>
        <v>28.08448694637142</v>
      </c>
      <c r="K182" s="234">
        <f t="shared" si="29"/>
        <v>11.227823367403619</v>
      </c>
      <c r="L182" s="240">
        <f t="shared" si="30"/>
        <v>4.3936554308881668</v>
      </c>
      <c r="M182" s="245"/>
      <c r="N182" s="244"/>
      <c r="O182" s="244"/>
      <c r="P182" s="233"/>
    </row>
    <row r="183" spans="3:16" x14ac:dyDescent="0.25">
      <c r="C183" s="232">
        <v>4325</v>
      </c>
      <c r="D183" s="25">
        <f t="shared" si="25"/>
        <v>17.357348680038847</v>
      </c>
      <c r="E183" s="241"/>
      <c r="F183" s="108"/>
      <c r="G183" s="243"/>
      <c r="H183" s="234">
        <f t="shared" si="26"/>
        <v>199.30700381925945</v>
      </c>
      <c r="I183" s="234">
        <f t="shared" si="27"/>
        <v>73.802355001098107</v>
      </c>
      <c r="J183" s="234">
        <f t="shared" si="28"/>
        <v>28.165895279391759</v>
      </c>
      <c r="K183" s="234">
        <f t="shared" si="29"/>
        <v>11.260558698200477</v>
      </c>
      <c r="L183" s="240">
        <f t="shared" si="30"/>
        <v>4.4064321645808411</v>
      </c>
      <c r="M183" s="245"/>
      <c r="N183" s="244"/>
      <c r="O183" s="244"/>
      <c r="P183" s="233"/>
    </row>
    <row r="184" spans="3:16" x14ac:dyDescent="0.25">
      <c r="C184" s="2">
        <v>4350</v>
      </c>
      <c r="D184" s="25">
        <f t="shared" si="25"/>
        <v>17.457680175299188</v>
      </c>
      <c r="E184" s="241"/>
      <c r="F184" s="108"/>
      <c r="G184" s="243"/>
      <c r="H184" s="234">
        <f t="shared" si="26"/>
        <v>199.86838133741952</v>
      </c>
      <c r="I184" s="234">
        <f t="shared" si="27"/>
        <v>74.014879992103133</v>
      </c>
      <c r="J184" s="234">
        <f t="shared" si="28"/>
        <v>28.247068337808944</v>
      </c>
      <c r="K184" s="234">
        <f t="shared" si="29"/>
        <v>11.293199969239295</v>
      </c>
      <c r="L184" s="240">
        <f t="shared" si="30"/>
        <v>4.4191720906299796</v>
      </c>
      <c r="M184" s="245"/>
      <c r="N184" s="244"/>
      <c r="O184" s="244"/>
      <c r="P184" s="233"/>
    </row>
    <row r="185" spans="3:16" x14ac:dyDescent="0.25">
      <c r="C185" s="232">
        <v>4375</v>
      </c>
      <c r="D185" s="25">
        <f t="shared" si="25"/>
        <v>17.558011670559527</v>
      </c>
      <c r="E185" s="241"/>
      <c r="F185" s="108"/>
      <c r="G185" s="243"/>
      <c r="H185" s="234">
        <f t="shared" si="26"/>
        <v>200.42810940266759</v>
      </c>
      <c r="I185" s="234">
        <f t="shared" si="27"/>
        <v>74.226793811828657</v>
      </c>
      <c r="J185" s="234">
        <f t="shared" si="28"/>
        <v>28.328008147904413</v>
      </c>
      <c r="K185" s="234">
        <f t="shared" si="29"/>
        <v>11.325747989042604</v>
      </c>
      <c r="L185" s="240">
        <f t="shared" si="30"/>
        <v>4.4318755257015887</v>
      </c>
      <c r="M185" s="245"/>
      <c r="N185" s="244"/>
      <c r="O185" s="244"/>
      <c r="P185" s="233"/>
    </row>
    <row r="186" spans="3:16" x14ac:dyDescent="0.25">
      <c r="C186" s="2">
        <v>4400</v>
      </c>
      <c r="D186" s="25">
        <f t="shared" si="25"/>
        <v>17.658343165819868</v>
      </c>
      <c r="E186" s="241"/>
      <c r="F186" s="108"/>
      <c r="G186" s="243"/>
      <c r="H186" s="234">
        <f t="shared" si="26"/>
        <v>200.98620224560466</v>
      </c>
      <c r="I186" s="234">
        <f t="shared" si="27"/>
        <v>74.438101695285923</v>
      </c>
      <c r="J186" s="234">
        <f t="shared" si="28"/>
        <v>28.408716707045556</v>
      </c>
      <c r="K186" s="234">
        <f t="shared" si="29"/>
        <v>11.358203554609018</v>
      </c>
      <c r="L186" s="240">
        <f t="shared" si="30"/>
        <v>4.4445427819458763</v>
      </c>
      <c r="M186" s="245"/>
      <c r="N186" s="244"/>
      <c r="O186" s="244"/>
      <c r="P186" s="233"/>
    </row>
    <row r="187" spans="3:16" x14ac:dyDescent="0.25">
      <c r="C187" s="232">
        <v>4425</v>
      </c>
      <c r="D187" s="25">
        <f t="shared" si="25"/>
        <v>17.75867466108021</v>
      </c>
      <c r="E187" s="241"/>
      <c r="F187" s="108"/>
      <c r="G187" s="243"/>
      <c r="H187" s="234">
        <f t="shared" si="26"/>
        <v>201.54267389401446</v>
      </c>
      <c r="I187" s="234">
        <f t="shared" si="27"/>
        <v>74.648808803197014</v>
      </c>
      <c r="J187" s="234">
        <f t="shared" si="28"/>
        <v>28.489195984259993</v>
      </c>
      <c r="K187" s="234">
        <f t="shared" si="29"/>
        <v>11.39056745164191</v>
      </c>
      <c r="L187" s="240">
        <f t="shared" si="30"/>
        <v>4.4571741670869072</v>
      </c>
      <c r="M187" s="245"/>
      <c r="N187" s="244"/>
      <c r="O187" s="244"/>
      <c r="P187" s="233"/>
    </row>
    <row r="188" spans="3:16" x14ac:dyDescent="0.25">
      <c r="C188" s="2">
        <v>4450</v>
      </c>
      <c r="D188" s="25">
        <f t="shared" si="25"/>
        <v>17.859006156340548</v>
      </c>
      <c r="E188" s="241"/>
      <c r="F188" s="108"/>
      <c r="G188" s="243"/>
      <c r="H188" s="234">
        <f t="shared" si="26"/>
        <v>202.09753817688153</v>
      </c>
      <c r="I188" s="234">
        <f t="shared" si="27"/>
        <v>74.858920223462547</v>
      </c>
      <c r="J188" s="234">
        <f t="shared" si="28"/>
        <v>28.569447920795373</v>
      </c>
      <c r="K188" s="234">
        <f t="shared" si="29"/>
        <v>11.422840454772327</v>
      </c>
      <c r="L188" s="240">
        <f t="shared" si="30"/>
        <v>4.4697699845099841</v>
      </c>
      <c r="M188" s="245"/>
      <c r="N188" s="244"/>
      <c r="O188" s="244"/>
      <c r="P188" s="233"/>
    </row>
    <row r="189" spans="3:16" x14ac:dyDescent="0.25">
      <c r="C189" s="232">
        <v>4475</v>
      </c>
      <c r="D189" s="25">
        <f t="shared" si="25"/>
        <v>17.95933765160089</v>
      </c>
      <c r="E189" s="241"/>
      <c r="F189" s="108"/>
      <c r="G189" s="243"/>
      <c r="H189" s="234">
        <f t="shared" si="26"/>
        <v>202.65080872830904</v>
      </c>
      <c r="I189" s="234">
        <f t="shared" si="27"/>
        <v>75.068440972591844</v>
      </c>
      <c r="J189" s="234">
        <f t="shared" si="28"/>
        <v>28.649474430664949</v>
      </c>
      <c r="K189" s="234">
        <f t="shared" si="29"/>
        <v>11.455023327776283</v>
      </c>
      <c r="L189" s="240">
        <f t="shared" si="30"/>
        <v>4.4823305333468166</v>
      </c>
      <c r="M189" s="245"/>
      <c r="N189" s="244"/>
      <c r="O189" s="244"/>
      <c r="P189" s="233"/>
    </row>
    <row r="190" spans="3:16" x14ac:dyDescent="0.25">
      <c r="C190" s="2">
        <v>4500</v>
      </c>
      <c r="D190" s="25">
        <f t="shared" si="25"/>
        <v>18.059669146861228</v>
      </c>
      <c r="E190" s="241"/>
      <c r="F190" s="108"/>
      <c r="G190" s="243"/>
      <c r="H190" s="234">
        <f t="shared" si="26"/>
        <v>203.20249899133557</v>
      </c>
      <c r="I190" s="234">
        <f t="shared" si="27"/>
        <v>75.277375997097579</v>
      </c>
      <c r="J190" s="234">
        <f t="shared" si="28"/>
        <v>28.729277401179388</v>
      </c>
      <c r="K190" s="234">
        <f t="shared" si="29"/>
        <v>11.487116823786558</v>
      </c>
      <c r="L190" s="240">
        <f t="shared" si="30"/>
        <v>4.4948561085585608</v>
      </c>
      <c r="M190" s="245"/>
      <c r="N190" s="244"/>
      <c r="O190" s="244"/>
      <c r="P190" s="233"/>
    </row>
    <row r="191" spans="3:16" x14ac:dyDescent="0.25">
      <c r="C191" s="232">
        <v>4525</v>
      </c>
      <c r="D191" s="25">
        <f t="shared" si="25"/>
        <v>18.16000064212157</v>
      </c>
      <c r="E191" s="241"/>
      <c r="F191" s="108"/>
      <c r="G191" s="243"/>
      <c r="H191" s="234">
        <f t="shared" si="26"/>
        <v>203.75262222165932</v>
      </c>
      <c r="I191" s="234">
        <f t="shared" si="27"/>
        <v>75.485730174855021</v>
      </c>
      <c r="J191" s="234">
        <f t="shared" si="28"/>
        <v>28.808858693465432</v>
      </c>
      <c r="K191" s="234">
        <f t="shared" si="29"/>
        <v>11.519121685499236</v>
      </c>
      <c r="L191" s="240">
        <f t="shared" si="30"/>
        <v>4.5073470010167762</v>
      </c>
      <c r="M191" s="245"/>
      <c r="N191" s="244"/>
      <c r="O191" s="244"/>
      <c r="P191" s="233"/>
    </row>
    <row r="192" spans="3:16" x14ac:dyDescent="0.25">
      <c r="C192" s="2">
        <v>4550</v>
      </c>
      <c r="D192" s="25">
        <f t="shared" si="25"/>
        <v>18.260332137381909</v>
      </c>
      <c r="E192" s="241"/>
      <c r="F192" s="108"/>
      <c r="G192" s="243"/>
      <c r="H192" s="234">
        <f t="shared" si="26"/>
        <v>204.30119149126665</v>
      </c>
      <c r="I192" s="234">
        <f t="shared" si="27"/>
        <v>75.693508316428336</v>
      </c>
      <c r="J192" s="234">
        <f t="shared" si="28"/>
        <v>28.888220142971662</v>
      </c>
      <c r="K192" s="234">
        <f t="shared" si="29"/>
        <v>11.551038645375165</v>
      </c>
      <c r="L192" s="240">
        <f t="shared" si="30"/>
        <v>4.5198034975823829</v>
      </c>
      <c r="M192" s="245"/>
      <c r="N192" s="244"/>
      <c r="O192" s="244"/>
      <c r="P192" s="233"/>
    </row>
    <row r="193" spans="3:16" x14ac:dyDescent="0.25">
      <c r="C193" s="232">
        <v>4575</v>
      </c>
      <c r="D193" s="25">
        <f t="shared" si="25"/>
        <v>18.36066363264225</v>
      </c>
      <c r="E193" s="241"/>
      <c r="F193" s="108"/>
      <c r="G193" s="243"/>
      <c r="H193" s="234">
        <f t="shared" si="26"/>
        <v>204.84821969197327</v>
      </c>
      <c r="I193" s="234">
        <f t="shared" si="27"/>
        <v>75.900715166363327</v>
      </c>
      <c r="J193" s="234">
        <f t="shared" si="28"/>
        <v>28.967363559961679</v>
      </c>
      <c r="K193" s="234">
        <f t="shared" si="29"/>
        <v>11.582868425836356</v>
      </c>
      <c r="L193" s="240">
        <f t="shared" si="30"/>
        <v>4.5322258811826615</v>
      </c>
      <c r="M193" s="245"/>
      <c r="N193" s="244"/>
      <c r="O193" s="244"/>
      <c r="P193" s="233"/>
    </row>
    <row r="194" spans="3:16" x14ac:dyDescent="0.25">
      <c r="C194" s="2">
        <v>4600</v>
      </c>
      <c r="D194" s="25">
        <f t="shared" si="25"/>
        <v>18.460995127902589</v>
      </c>
      <c r="E194" s="241"/>
      <c r="F194" s="108"/>
      <c r="G194" s="243"/>
      <c r="H194" s="234">
        <f t="shared" si="26"/>
        <v>205.39371953887621</v>
      </c>
      <c r="I194" s="234">
        <f t="shared" si="27"/>
        <v>76.107355404448811</v>
      </c>
      <c r="J194" s="234">
        <f t="shared" si="28"/>
        <v>29.046290729995256</v>
      </c>
      <c r="K194" s="234">
        <f t="shared" si="29"/>
        <v>11.614611739457585</v>
      </c>
      <c r="L194" s="240">
        <f t="shared" si="30"/>
        <v>4.5446144308863712</v>
      </c>
      <c r="M194" s="245"/>
      <c r="N194" s="244"/>
      <c r="O194" s="244"/>
      <c r="P194" s="233"/>
    </row>
    <row r="195" spans="3:16" x14ac:dyDescent="0.25">
      <c r="C195" s="232">
        <v>4625</v>
      </c>
      <c r="D195" s="25">
        <f t="shared" si="25"/>
        <v>18.56132662316293</v>
      </c>
      <c r="E195" s="241"/>
      <c r="F195" s="108"/>
      <c r="G195" s="243"/>
      <c r="H195" s="234">
        <f t="shared" si="26"/>
        <v>205.93770357372333</v>
      </c>
      <c r="I195" s="234">
        <f t="shared" si="27"/>
        <v>76.313433646947317</v>
      </c>
      <c r="J195" s="234">
        <f t="shared" si="28"/>
        <v>29.125003414397728</v>
      </c>
      <c r="K195" s="234">
        <f t="shared" si="29"/>
        <v>11.646269289153418</v>
      </c>
      <c r="L195" s="240">
        <f t="shared" si="30"/>
        <v>4.5569694219770245</v>
      </c>
      <c r="M195" s="245"/>
      <c r="N195" s="244"/>
      <c r="O195" s="244"/>
      <c r="P195" s="233"/>
    </row>
    <row r="196" spans="3:16" x14ac:dyDescent="0.25">
      <c r="C196" s="2">
        <v>4650</v>
      </c>
      <c r="D196" s="25">
        <f t="shared" si="25"/>
        <v>18.661658118423269</v>
      </c>
      <c r="E196" s="241"/>
      <c r="F196" s="108"/>
      <c r="G196" s="243"/>
      <c r="H196" s="234">
        <f t="shared" si="26"/>
        <v>206.4801841681988</v>
      </c>
      <c r="I196" s="234">
        <f t="shared" si="27"/>
        <v>76.518954447795664</v>
      </c>
      <c r="J196" s="234">
        <f t="shared" si="28"/>
        <v>29.203503350717881</v>
      </c>
      <c r="K196" s="234">
        <f t="shared" si="29"/>
        <v>11.677841768360505</v>
      </c>
      <c r="L196" s="240">
        <f t="shared" si="30"/>
        <v>4.5692911260243907</v>
      </c>
      <c r="M196" s="245"/>
      <c r="N196" s="244"/>
      <c r="O196" s="244"/>
      <c r="P196" s="233"/>
    </row>
    <row r="197" spans="3:16" x14ac:dyDescent="0.25">
      <c r="C197" s="232">
        <v>4675</v>
      </c>
      <c r="D197" s="25">
        <f t="shared" si="25"/>
        <v>18.76198961368361</v>
      </c>
      <c r="E197" s="241"/>
      <c r="F197" s="108"/>
      <c r="G197" s="243"/>
      <c r="H197" s="234">
        <f t="shared" si="26"/>
        <v>207.0211735271296</v>
      </c>
      <c r="I197" s="234">
        <f t="shared" si="27"/>
        <v>76.723922299776277</v>
      </c>
      <c r="J197" s="234">
        <f t="shared" si="28"/>
        <v>29.281792253175009</v>
      </c>
      <c r="K197" s="234">
        <f t="shared" si="29"/>
        <v>11.7093298612157</v>
      </c>
      <c r="L197" s="240">
        <f t="shared" si="30"/>
        <v>4.5815798109542509</v>
      </c>
      <c r="M197" s="245"/>
      <c r="N197" s="244"/>
      <c r="O197" s="244"/>
      <c r="P197" s="233"/>
    </row>
    <row r="198" spans="3:16" x14ac:dyDescent="0.25">
      <c r="C198" s="2">
        <v>4700</v>
      </c>
      <c r="D198" s="25">
        <f t="shared" si="25"/>
        <v>18.862321108943949</v>
      </c>
      <c r="E198" s="241"/>
      <c r="F198" s="108"/>
      <c r="G198" s="243"/>
      <c r="H198" s="234">
        <f t="shared" si="26"/>
        <v>207.56068369161639</v>
      </c>
      <c r="I198" s="234">
        <f t="shared" si="27"/>
        <v>76.928341635661226</v>
      </c>
      <c r="J198" s="234">
        <f t="shared" si="28"/>
        <v>29.359871813094919</v>
      </c>
      <c r="K198" s="234">
        <f t="shared" si="29"/>
        <v>11.740734242729685</v>
      </c>
      <c r="L198" s="240">
        <f t="shared" si="30"/>
        <v>4.5938357411165249</v>
      </c>
      <c r="M198" s="245"/>
      <c r="N198" s="244"/>
      <c r="O198" s="244"/>
      <c r="P198" s="233"/>
    </row>
    <row r="199" spans="3:16" x14ac:dyDescent="0.25">
      <c r="C199" s="232">
        <v>4725</v>
      </c>
      <c r="D199" s="25">
        <f t="shared" si="25"/>
        <v>18.96265260420429</v>
      </c>
      <c r="E199" s="241"/>
      <c r="F199" s="108"/>
      <c r="G199" s="243"/>
      <c r="H199" s="234">
        <f t="shared" si="26"/>
        <v>208.09872654208661</v>
      </c>
      <c r="I199" s="234">
        <f t="shared" si="27"/>
        <v>77.132216829327646</v>
      </c>
      <c r="J199" s="234">
        <f t="shared" si="28"/>
        <v>29.437743699335762</v>
      </c>
      <c r="K199" s="234">
        <f t="shared" si="29"/>
        <v>11.772055578956602</v>
      </c>
      <c r="L199" s="240">
        <f t="shared" si="30"/>
        <v>4.6060591773517157</v>
      </c>
      <c r="M199" s="245"/>
      <c r="N199" s="244"/>
      <c r="O199" s="244"/>
      <c r="P199" s="233"/>
    </row>
    <row r="200" spans="3:16" x14ac:dyDescent="0.25">
      <c r="C200" s="2">
        <v>4750</v>
      </c>
      <c r="D200" s="25">
        <f t="shared" si="25"/>
        <v>19.062984099464632</v>
      </c>
      <c r="E200" s="241"/>
      <c r="F200" s="108"/>
      <c r="G200" s="243"/>
      <c r="H200" s="234">
        <f t="shared" si="26"/>
        <v>208.63531380127594</v>
      </c>
      <c r="I200" s="234">
        <f t="shared" si="27"/>
        <v>77.335552196847729</v>
      </c>
      <c r="J200" s="234">
        <f t="shared" si="28"/>
        <v>29.515409558703549</v>
      </c>
      <c r="K200" s="234">
        <f t="shared" si="29"/>
        <v>11.80329452715954</v>
      </c>
      <c r="L200" s="240">
        <f t="shared" si="30"/>
        <v>4.6182503770557926</v>
      </c>
      <c r="M200" s="245"/>
      <c r="N200" s="244"/>
      <c r="O200" s="244"/>
      <c r="P200" s="233"/>
    </row>
    <row r="201" spans="3:16" x14ac:dyDescent="0.25">
      <c r="C201" s="232">
        <v>4775</v>
      </c>
      <c r="D201" s="25">
        <f t="shared" si="25"/>
        <v>19.16331559472497</v>
      </c>
      <c r="E201" s="241"/>
      <c r="F201" s="108"/>
      <c r="G201" s="243"/>
      <c r="H201" s="234">
        <f t="shared" si="26"/>
        <v>209.17045703714092</v>
      </c>
      <c r="I201" s="234">
        <f t="shared" si="27"/>
        <v>77.538351997552539</v>
      </c>
      <c r="J201" s="234">
        <f t="shared" si="28"/>
        <v>29.592871016358</v>
      </c>
      <c r="K201" s="234">
        <f t="shared" si="29"/>
        <v>11.834451735972248</v>
      </c>
      <c r="L201" s="240">
        <f t="shared" si="30"/>
        <v>4.6304095942435737</v>
      </c>
      <c r="M201" s="245"/>
      <c r="N201" s="244"/>
      <c r="O201" s="244"/>
      <c r="P201" s="233"/>
    </row>
    <row r="202" spans="3:16" x14ac:dyDescent="0.25">
      <c r="C202" s="2">
        <v>4800</v>
      </c>
      <c r="D202" s="25">
        <f t="shared" si="25"/>
        <v>19.263647089985312</v>
      </c>
      <c r="E202" s="241"/>
      <c r="F202" s="108"/>
      <c r="G202" s="243"/>
      <c r="H202" s="234">
        <f t="shared" si="26"/>
        <v>209.70416766569909</v>
      </c>
      <c r="I202" s="234">
        <f t="shared" si="27"/>
        <v>77.740620435070284</v>
      </c>
      <c r="J202" s="234">
        <f t="shared" si="28"/>
        <v>29.670129676208806</v>
      </c>
      <c r="K202" s="234">
        <f t="shared" si="29"/>
        <v>11.865527845556873</v>
      </c>
      <c r="L202" s="240">
        <f t="shared" si="30"/>
        <v>4.6425370796105518</v>
      </c>
      <c r="M202" s="245"/>
      <c r="N202" s="244"/>
      <c r="O202" s="244"/>
      <c r="P202" s="233"/>
    </row>
    <row r="203" spans="3:16" x14ac:dyDescent="0.25">
      <c r="C203" s="232">
        <v>4825</v>
      </c>
      <c r="D203" s="25">
        <f t="shared" si="25"/>
        <v>19.363978585245651</v>
      </c>
      <c r="E203" s="241"/>
      <c r="F203" s="108"/>
      <c r="G203" s="243"/>
      <c r="H203" s="234">
        <f t="shared" si="26"/>
        <v>210.23645695380617</v>
      </c>
      <c r="I203" s="234">
        <f t="shared" si="27"/>
        <v>77.942361658341298</v>
      </c>
      <c r="J203" s="234">
        <f t="shared" si="28"/>
        <v>29.74718712130246</v>
      </c>
      <c r="K203" s="234">
        <f t="shared" si="29"/>
        <v>11.896523487758166</v>
      </c>
      <c r="L203" s="240">
        <f t="shared" si="30"/>
        <v>4.6546330805933342</v>
      </c>
      <c r="M203" s="245"/>
      <c r="N203" s="244"/>
      <c r="O203" s="244"/>
      <c r="P203" s="233"/>
    </row>
    <row r="204" spans="3:16" x14ac:dyDescent="0.25">
      <c r="C204" s="2">
        <v>4850</v>
      </c>
      <c r="D204" s="25">
        <f t="shared" si="25"/>
        <v>19.464310080505992</v>
      </c>
      <c r="E204" s="241"/>
      <c r="F204" s="108"/>
      <c r="G204" s="243"/>
      <c r="H204" s="234">
        <f t="shared" si="26"/>
        <v>210.76733602186584</v>
      </c>
      <c r="I204" s="234">
        <f t="shared" si="27"/>
        <v>78.143579762608525</v>
      </c>
      <c r="J204" s="234">
        <f t="shared" si="28"/>
        <v>29.824044914200279</v>
      </c>
      <c r="K204" s="234">
        <f t="shared" si="29"/>
        <v>11.927439286253961</v>
      </c>
      <c r="L204" s="240">
        <f t="shared" si="30"/>
        <v>4.6666978414286469</v>
      </c>
      <c r="M204" s="245"/>
      <c r="N204" s="244"/>
      <c r="O204" s="244"/>
      <c r="P204" s="233"/>
    </row>
    <row r="205" spans="3:16" x14ac:dyDescent="0.25">
      <c r="C205" s="2">
        <v>4875</v>
      </c>
      <c r="D205" s="25">
        <f t="shared" si="25"/>
        <v>19.564641575766331</v>
      </c>
      <c r="E205" s="241"/>
      <c r="F205" s="108"/>
      <c r="G205" s="243"/>
      <c r="H205" s="234">
        <f t="shared" si="26"/>
        <v>211.29681584647804</v>
      </c>
      <c r="I205" s="234">
        <f t="shared" si="27"/>
        <v>78.344278790385417</v>
      </c>
      <c r="J205" s="234">
        <f t="shared" si="28"/>
        <v>29.900704597347566</v>
      </c>
      <c r="K205" s="234">
        <f t="shared" si="29"/>
        <v>11.958275856702324</v>
      </c>
      <c r="L205" s="240">
        <f t="shared" si="30"/>
        <v>4.6787316032109718</v>
      </c>
      <c r="M205" s="245"/>
      <c r="N205" s="244"/>
      <c r="O205" s="244"/>
      <c r="P205" s="233"/>
    </row>
    <row r="206" spans="3:16" x14ac:dyDescent="0.25">
      <c r="C206" s="232">
        <v>4900</v>
      </c>
      <c r="D206" s="25">
        <f t="shared" si="25"/>
        <v>19.664973071026672</v>
      </c>
      <c r="E206" s="241"/>
      <c r="F206" s="108"/>
      <c r="G206" s="243"/>
      <c r="H206" s="234">
        <f t="shared" si="26"/>
        <v>211.82490726302549</v>
      </c>
      <c r="I206" s="234">
        <f t="shared" si="27"/>
        <v>78.54446273240157</v>
      </c>
      <c r="J206" s="234">
        <f t="shared" si="28"/>
        <v>29.977167693434307</v>
      </c>
      <c r="K206" s="234">
        <f t="shared" si="29"/>
        <v>11.989033806885146</v>
      </c>
      <c r="L206" s="240">
        <f t="shared" si="30"/>
        <v>4.6907346039488615</v>
      </c>
      <c r="M206" s="245"/>
      <c r="N206" s="244"/>
      <c r="O206" s="244"/>
      <c r="P206" s="233"/>
    </row>
    <row r="207" spans="3:16" x14ac:dyDescent="0.25">
      <c r="C207" s="2">
        <v>4925</v>
      </c>
      <c r="D207" s="25">
        <f t="shared" si="25"/>
        <v>19.765304566287011</v>
      </c>
      <c r="E207" s="241"/>
      <c r="F207" s="108"/>
      <c r="G207" s="243"/>
      <c r="H207" s="234">
        <f t="shared" si="26"/>
        <v>212.35162096819988</v>
      </c>
      <c r="I207" s="234">
        <f t="shared" si="27"/>
        <v>78.744135528526158</v>
      </c>
      <c r="J207" s="234">
        <f t="shared" si="28"/>
        <v>30.053435705747486</v>
      </c>
      <c r="K207" s="234">
        <f t="shared" si="29"/>
        <v>12.01971373684853</v>
      </c>
      <c r="L207" s="240">
        <f t="shared" si="30"/>
        <v>4.7027070786199561</v>
      </c>
      <c r="M207" s="245"/>
      <c r="N207" s="244"/>
      <c r="O207" s="244"/>
      <c r="P207" s="233"/>
    </row>
    <row r="208" spans="3:16" x14ac:dyDescent="0.25">
      <c r="C208" s="232">
        <v>4950</v>
      </c>
      <c r="D208" s="25">
        <f t="shared" si="25"/>
        <v>19.865636061547352</v>
      </c>
      <c r="E208" s="241"/>
      <c r="F208" s="108"/>
      <c r="G208" s="243"/>
      <c r="H208" s="234">
        <f t="shared" si="26"/>
        <v>212.87696752247319</v>
      </c>
      <c r="I208" s="234">
        <f t="shared" si="27"/>
        <v>78.943301068671389</v>
      </c>
      <c r="J208" s="234">
        <f t="shared" si="28"/>
        <v>30.129510118515586</v>
      </c>
      <c r="K208" s="234">
        <f t="shared" si="29"/>
        <v>12.050316239040065</v>
      </c>
      <c r="L208" s="240">
        <f t="shared" si="30"/>
        <v>4.7146492592247728</v>
      </c>
      <c r="M208" s="245"/>
      <c r="N208" s="244"/>
      <c r="O208" s="244"/>
      <c r="P208" s="233"/>
    </row>
    <row r="209" spans="3:16" x14ac:dyDescent="0.25">
      <c r="C209" s="2">
        <v>4975</v>
      </c>
      <c r="D209" s="25">
        <f t="shared" si="25"/>
        <v>19.965967556807691</v>
      </c>
      <c r="E209" s="241"/>
      <c r="F209" s="108"/>
      <c r="G209" s="243"/>
      <c r="H209" s="234">
        <f t="shared" si="26"/>
        <v>213.40095735250878</v>
      </c>
      <c r="I209" s="234">
        <f t="shared" si="27"/>
        <v>79.141963193674087</v>
      </c>
      <c r="J209" s="234">
        <f t="shared" si="28"/>
        <v>30.205392397244985</v>
      </c>
      <c r="K209" s="234">
        <f t="shared" si="29"/>
        <v>12.08084189844277</v>
      </c>
      <c r="L209" s="240">
        <f t="shared" si="30"/>
        <v>4.7265613748392257</v>
      </c>
      <c r="M209" s="245"/>
      <c r="N209" s="244"/>
      <c r="O209" s="244"/>
      <c r="P209" s="233"/>
    </row>
    <row r="210" spans="3:16" x14ac:dyDescent="0.25">
      <c r="C210" s="232"/>
      <c r="D210" s="25"/>
    </row>
    <row r="211" spans="3:16" x14ac:dyDescent="0.25">
      <c r="D211" s="25"/>
    </row>
    <row r="212" spans="3:16" x14ac:dyDescent="0.25">
      <c r="D212" s="25"/>
    </row>
    <row r="213" spans="3:16" x14ac:dyDescent="0.25">
      <c r="D213" s="25"/>
    </row>
    <row r="214" spans="3:16" x14ac:dyDescent="0.25">
      <c r="D214" s="25"/>
    </row>
    <row r="215" spans="3:16" x14ac:dyDescent="0.25">
      <c r="D215" s="25"/>
    </row>
    <row r="216" spans="3:16" x14ac:dyDescent="0.25">
      <c r="D216" s="25"/>
    </row>
    <row r="217" spans="3:16" x14ac:dyDescent="0.25">
      <c r="D217" s="25"/>
    </row>
    <row r="218" spans="3:16" x14ac:dyDescent="0.25">
      <c r="D218" s="25"/>
    </row>
    <row r="219" spans="3:16" x14ac:dyDescent="0.25">
      <c r="D219" s="25"/>
    </row>
    <row r="220" spans="3:16" x14ac:dyDescent="0.25">
      <c r="D220" s="25"/>
    </row>
  </sheetData>
  <mergeCells count="3">
    <mergeCell ref="C2:D2"/>
    <mergeCell ref="N3:X3"/>
    <mergeCell ref="A4:A13"/>
  </mergeCells>
  <pageMargins left="0.7" right="0.7" top="0.75" bottom="0.75" header="0.3" footer="0.3"/>
  <pageSetup orientation="portrait" copies="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Round B1</vt:lpstr>
      <vt:lpstr>Flow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Wong</dc:creator>
  <cp:lastModifiedBy>Warren</cp:lastModifiedBy>
  <dcterms:created xsi:type="dcterms:W3CDTF">2014-04-21T02:59:22Z</dcterms:created>
  <dcterms:modified xsi:type="dcterms:W3CDTF">2022-12-02T10:12:52Z</dcterms:modified>
</cp:coreProperties>
</file>