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defaultThemeVersion="124226"/>
  <mc:AlternateContent xmlns:mc="http://schemas.openxmlformats.org/markup-compatibility/2006">
    <mc:Choice Requires="x15">
      <x15ac:absPath xmlns:x15ac="http://schemas.microsoft.com/office/spreadsheetml/2010/11/ac" url="C:\Users\Stephen\Downloads\"/>
    </mc:Choice>
  </mc:AlternateContent>
  <bookViews>
    <workbookView xWindow="0" yWindow="0" windowWidth="19200" windowHeight="8200"/>
  </bookViews>
  <sheets>
    <sheet name="Imperial" sheetId="4" r:id="rId1"/>
    <sheet name="Metric" sheetId="1" r:id="rId2"/>
  </sheets>
  <calcPr calcId="171027"/>
</workbook>
</file>

<file path=xl/calcChain.xml><?xml version="1.0" encoding="utf-8"?>
<calcChain xmlns="http://schemas.openxmlformats.org/spreadsheetml/2006/main">
  <c r="B39" i="1" l="1"/>
  <c r="B38" i="1"/>
  <c r="S65" i="4" l="1"/>
  <c r="S66" i="4"/>
  <c r="S64" i="4"/>
  <c r="S55" i="4"/>
  <c r="S54" i="4"/>
  <c r="S53" i="4" s="1"/>
  <c r="R50" i="4"/>
  <c r="S59" i="4" l="1"/>
  <c r="N17" i="4"/>
  <c r="S60" i="4"/>
  <c r="O18" i="4"/>
  <c r="P18" i="4" s="1"/>
  <c r="S60" i="1"/>
  <c r="R50" i="1"/>
  <c r="S55" i="1"/>
  <c r="S54" i="1"/>
  <c r="S53" i="1" s="1"/>
  <c r="O19" i="4" l="1"/>
  <c r="P19" i="4" s="1"/>
  <c r="S59" i="1"/>
  <c r="O18" i="1"/>
  <c r="N17" i="1"/>
  <c r="O20" i="4" l="1"/>
  <c r="P20" i="4" s="1"/>
  <c r="P18" i="1"/>
  <c r="O19" i="1"/>
  <c r="O21" i="4" l="1"/>
  <c r="P21" i="4" s="1"/>
  <c r="P19" i="1"/>
  <c r="O20" i="1"/>
  <c r="O22" i="4" l="1"/>
  <c r="P22" i="4" s="1"/>
  <c r="O21" i="1"/>
  <c r="P20" i="1"/>
  <c r="O23" i="4" l="1"/>
  <c r="P23" i="4" s="1"/>
  <c r="O22" i="1"/>
  <c r="P21" i="1"/>
  <c r="O24" i="4" l="1"/>
  <c r="P24" i="4" s="1"/>
  <c r="O23" i="1"/>
  <c r="P22" i="1"/>
  <c r="O25" i="4" l="1"/>
  <c r="P25" i="4" s="1"/>
  <c r="O24" i="1"/>
  <c r="P23" i="1"/>
  <c r="O26" i="4" l="1"/>
  <c r="P26" i="4" s="1"/>
  <c r="O25" i="1"/>
  <c r="P24" i="1"/>
  <c r="O27" i="4" l="1"/>
  <c r="P27" i="4" s="1"/>
  <c r="O26" i="1"/>
  <c r="P25" i="1"/>
  <c r="O28" i="4" l="1"/>
  <c r="P28" i="4" s="1"/>
  <c r="O27" i="1"/>
  <c r="P26" i="1"/>
  <c r="O29" i="4" l="1"/>
  <c r="P29" i="4" s="1"/>
  <c r="O28" i="1"/>
  <c r="P27" i="1"/>
  <c r="O30" i="4" l="1"/>
  <c r="P30" i="4" s="1"/>
  <c r="O29" i="1"/>
  <c r="P28" i="1"/>
  <c r="O31" i="4" l="1"/>
  <c r="P31" i="4" s="1"/>
  <c r="O30" i="1"/>
  <c r="P29" i="1"/>
  <c r="O32" i="4" l="1"/>
  <c r="P32" i="4" s="1"/>
  <c r="O31" i="1"/>
  <c r="P30" i="1"/>
  <c r="O33" i="4" l="1"/>
  <c r="P33" i="4" s="1"/>
  <c r="O32" i="1"/>
  <c r="P31" i="1"/>
  <c r="O34" i="4" l="1"/>
  <c r="P34" i="4" s="1"/>
  <c r="O33" i="1"/>
  <c r="P32" i="1"/>
  <c r="O35" i="4" l="1"/>
  <c r="P35" i="4" s="1"/>
  <c r="O34" i="1"/>
  <c r="P33" i="1"/>
  <c r="O36" i="4" l="1"/>
  <c r="P36" i="4" s="1"/>
  <c r="O35" i="1"/>
  <c r="P34" i="1"/>
  <c r="O37" i="4" l="1"/>
  <c r="P37" i="4" s="1"/>
  <c r="O36" i="1"/>
  <c r="P35" i="1"/>
  <c r="O38" i="4" l="1"/>
  <c r="P38" i="4" s="1"/>
  <c r="O37" i="1"/>
  <c r="P36" i="1"/>
  <c r="O39" i="4" l="1"/>
  <c r="P39" i="4" s="1"/>
  <c r="O38" i="1"/>
  <c r="P37" i="1"/>
  <c r="O40" i="4" l="1"/>
  <c r="P40" i="4" s="1"/>
  <c r="O39" i="1"/>
  <c r="P38" i="1"/>
  <c r="O41" i="4" l="1"/>
  <c r="P41" i="4" s="1"/>
  <c r="O40" i="1"/>
  <c r="P39" i="1"/>
  <c r="O42" i="4" l="1"/>
  <c r="P42" i="4" s="1"/>
  <c r="O41" i="1"/>
  <c r="P40" i="1"/>
  <c r="O43" i="4" l="1"/>
  <c r="P43" i="4" s="1"/>
  <c r="O42" i="1"/>
  <c r="P41" i="1"/>
  <c r="O44" i="4" l="1"/>
  <c r="P44" i="4" s="1"/>
  <c r="O43" i="1"/>
  <c r="P42" i="1"/>
  <c r="O45" i="4" l="1"/>
  <c r="P45" i="4" s="1"/>
  <c r="O44" i="1"/>
  <c r="P43" i="1"/>
  <c r="O46" i="4" l="1"/>
  <c r="P46" i="4" s="1"/>
  <c r="O45" i="1"/>
  <c r="P44" i="1"/>
  <c r="O47" i="4" l="1"/>
  <c r="P47" i="4" s="1"/>
  <c r="O46" i="1"/>
  <c r="P45" i="1"/>
  <c r="O48" i="4" l="1"/>
  <c r="P48" i="4" s="1"/>
  <c r="O47" i="1"/>
  <c r="P46" i="1"/>
  <c r="O49" i="4" l="1"/>
  <c r="P49" i="4" s="1"/>
  <c r="O48" i="1"/>
  <c r="P47" i="1"/>
  <c r="O50" i="4" l="1"/>
  <c r="P50" i="4" s="1"/>
  <c r="O49" i="1"/>
  <c r="P48" i="1"/>
  <c r="O51" i="4" l="1"/>
  <c r="P51" i="4" s="1"/>
  <c r="O50" i="1"/>
  <c r="P49" i="1"/>
  <c r="O52" i="4" l="1"/>
  <c r="P52" i="4" s="1"/>
  <c r="O51" i="1"/>
  <c r="P50" i="1"/>
  <c r="O53" i="4" l="1"/>
  <c r="P53" i="4" s="1"/>
  <c r="O52" i="1"/>
  <c r="P51" i="1"/>
  <c r="O54" i="4" l="1"/>
  <c r="P54" i="4" s="1"/>
  <c r="O53" i="1"/>
  <c r="P52" i="1"/>
  <c r="O55" i="4" l="1"/>
  <c r="P55" i="4" s="1"/>
  <c r="O54" i="1"/>
  <c r="P53" i="1"/>
  <c r="O56" i="4" l="1"/>
  <c r="P56" i="4" s="1"/>
  <c r="O55" i="1"/>
  <c r="P54" i="1"/>
  <c r="O57" i="4" l="1"/>
  <c r="P57" i="4" s="1"/>
  <c r="O56" i="1"/>
  <c r="P55" i="1"/>
  <c r="O58" i="4" l="1"/>
  <c r="P58" i="4" s="1"/>
  <c r="O57" i="1"/>
  <c r="P56" i="1"/>
  <c r="O59" i="4" l="1"/>
  <c r="P59" i="4" s="1"/>
  <c r="O58" i="1"/>
  <c r="P57" i="1"/>
  <c r="O60" i="4" l="1"/>
  <c r="P60" i="4" s="1"/>
  <c r="O59" i="1"/>
  <c r="P58" i="1"/>
  <c r="O61" i="4" l="1"/>
  <c r="P61" i="4" s="1"/>
  <c r="O60" i="1"/>
  <c r="P59" i="1"/>
  <c r="O62" i="4" l="1"/>
  <c r="P62" i="4" s="1"/>
  <c r="O61" i="1"/>
  <c r="P60" i="1"/>
  <c r="O63" i="4" l="1"/>
  <c r="P63" i="4" s="1"/>
  <c r="O62" i="1"/>
  <c r="P61" i="1"/>
  <c r="O64" i="4" l="1"/>
  <c r="P64" i="4" s="1"/>
  <c r="O63" i="1"/>
  <c r="P62" i="1"/>
  <c r="O65" i="4" l="1"/>
  <c r="P65" i="4" s="1"/>
  <c r="O64" i="1"/>
  <c r="P63" i="1"/>
  <c r="O66" i="4" l="1"/>
  <c r="P66" i="4" s="1"/>
  <c r="O65" i="1"/>
  <c r="P64" i="1"/>
  <c r="O67" i="4" l="1"/>
  <c r="P67" i="4" s="1"/>
  <c r="O66" i="1"/>
  <c r="P65" i="1"/>
  <c r="O68" i="4" l="1"/>
  <c r="P68" i="4" s="1"/>
  <c r="O67" i="1"/>
  <c r="P66" i="1"/>
  <c r="O69" i="4" l="1"/>
  <c r="P69" i="4" s="1"/>
  <c r="O68" i="1"/>
  <c r="P67" i="1"/>
  <c r="O70" i="4" l="1"/>
  <c r="P70" i="4" s="1"/>
  <c r="O69" i="1"/>
  <c r="P68" i="1"/>
  <c r="O71" i="4" l="1"/>
  <c r="P71" i="4" s="1"/>
  <c r="O70" i="1"/>
  <c r="P69" i="1"/>
  <c r="O72" i="4" l="1"/>
  <c r="P72" i="4" s="1"/>
  <c r="O71" i="1"/>
  <c r="P70" i="1"/>
  <c r="O73" i="4" l="1"/>
  <c r="P73" i="4" s="1"/>
  <c r="O72" i="1"/>
  <c r="P71" i="1"/>
  <c r="O74" i="4" l="1"/>
  <c r="P74" i="4" s="1"/>
  <c r="P72" i="1"/>
  <c r="O73" i="1"/>
  <c r="O75" i="4" l="1"/>
  <c r="P75" i="4" s="1"/>
  <c r="O74" i="1"/>
  <c r="P73" i="1"/>
  <c r="O76" i="4" l="1"/>
  <c r="P76" i="4" s="1"/>
  <c r="P74" i="1"/>
  <c r="O75" i="1"/>
  <c r="O77" i="4" l="1"/>
  <c r="P77" i="4" s="1"/>
  <c r="P75" i="1"/>
  <c r="O76" i="1"/>
  <c r="O78" i="4" l="1"/>
  <c r="P78" i="4" s="1"/>
  <c r="P76" i="1"/>
  <c r="O77" i="1"/>
  <c r="O79" i="4" l="1"/>
  <c r="P79" i="4" s="1"/>
  <c r="P77" i="1"/>
  <c r="O78" i="1"/>
  <c r="O80" i="4" l="1"/>
  <c r="P80" i="4" s="1"/>
  <c r="P78" i="1"/>
  <c r="O79" i="1"/>
  <c r="O81" i="4" l="1"/>
  <c r="P81" i="4" s="1"/>
  <c r="P79" i="1"/>
  <c r="O80" i="1"/>
  <c r="O82" i="4" l="1"/>
  <c r="P82" i="4" s="1"/>
  <c r="P80" i="1"/>
  <c r="O81" i="1"/>
  <c r="O83" i="4" l="1"/>
  <c r="P83" i="4" s="1"/>
  <c r="P81" i="1"/>
  <c r="O82" i="1"/>
  <c r="O84" i="4" l="1"/>
  <c r="P84" i="4" s="1"/>
  <c r="P82" i="1"/>
  <c r="O83" i="1"/>
  <c r="O85" i="4" l="1"/>
  <c r="P85" i="4" s="1"/>
  <c r="P83" i="1"/>
  <c r="O84" i="1"/>
  <c r="O86" i="4" l="1"/>
  <c r="P86" i="4" s="1"/>
  <c r="P84" i="1"/>
  <c r="O85" i="1"/>
  <c r="O87" i="4" l="1"/>
  <c r="P87" i="4" s="1"/>
  <c r="P85" i="1"/>
  <c r="O86" i="1"/>
  <c r="O88" i="4" l="1"/>
  <c r="P88" i="4" s="1"/>
  <c r="P86" i="1"/>
  <c r="O87" i="1"/>
  <c r="O89" i="4" l="1"/>
  <c r="P89" i="4" s="1"/>
  <c r="O88" i="1"/>
  <c r="P87" i="1"/>
  <c r="O90" i="4" l="1"/>
  <c r="P90" i="4" s="1"/>
  <c r="P88" i="1"/>
  <c r="O89" i="1"/>
  <c r="O91" i="4" l="1"/>
  <c r="P91" i="4" s="1"/>
  <c r="P89" i="1"/>
  <c r="O90" i="1"/>
  <c r="O92" i="4" l="1"/>
  <c r="P92" i="4" s="1"/>
  <c r="P90" i="1"/>
  <c r="O91" i="1"/>
  <c r="O93" i="4" l="1"/>
  <c r="P93" i="4" s="1"/>
  <c r="P91" i="1"/>
  <c r="O92" i="1"/>
  <c r="O94" i="4" l="1"/>
  <c r="P94" i="4" s="1"/>
  <c r="P92" i="1"/>
  <c r="O93" i="1"/>
  <c r="O95" i="4" l="1"/>
  <c r="P95" i="4" s="1"/>
  <c r="P93" i="1"/>
  <c r="O94" i="1"/>
  <c r="O96" i="4" l="1"/>
  <c r="P96" i="4" s="1"/>
  <c r="P94" i="1"/>
  <c r="O95" i="1"/>
  <c r="O97" i="4" l="1"/>
  <c r="P97" i="4" s="1"/>
  <c r="P95" i="1"/>
  <c r="O96" i="1"/>
  <c r="O98" i="4" l="1"/>
  <c r="P98" i="4" s="1"/>
  <c r="P96" i="1"/>
  <c r="O97" i="1"/>
  <c r="O99" i="4" l="1"/>
  <c r="P99" i="4" s="1"/>
  <c r="P97" i="1"/>
  <c r="O98" i="1"/>
  <c r="O100" i="4" l="1"/>
  <c r="P100" i="4" s="1"/>
  <c r="P98" i="1"/>
  <c r="O99" i="1"/>
  <c r="O101" i="4" l="1"/>
  <c r="P101" i="4" s="1"/>
  <c r="P99" i="1"/>
  <c r="O100" i="1"/>
  <c r="O102" i="4" l="1"/>
  <c r="P102" i="4" s="1"/>
  <c r="P100" i="1"/>
  <c r="O101" i="1"/>
  <c r="O103" i="4" l="1"/>
  <c r="P103" i="4" s="1"/>
  <c r="P101" i="1"/>
  <c r="O102" i="1"/>
  <c r="O104" i="4" l="1"/>
  <c r="P104" i="4" s="1"/>
  <c r="P102" i="1"/>
  <c r="O103" i="1"/>
  <c r="O105" i="4" l="1"/>
  <c r="P105" i="4" s="1"/>
  <c r="P103" i="1"/>
  <c r="O104" i="1"/>
  <c r="O106" i="4" l="1"/>
  <c r="P106" i="4" s="1"/>
  <c r="P104" i="1"/>
  <c r="O105" i="1"/>
  <c r="O107" i="4" l="1"/>
  <c r="P107" i="4" s="1"/>
  <c r="P105" i="1"/>
  <c r="O106" i="1"/>
  <c r="O108" i="4" l="1"/>
  <c r="P108" i="4" s="1"/>
  <c r="P106" i="1"/>
  <c r="O107" i="1"/>
  <c r="O109" i="4" l="1"/>
  <c r="P109" i="4" s="1"/>
  <c r="O108" i="1"/>
  <c r="P107" i="1"/>
  <c r="O110" i="4" l="1"/>
  <c r="P110" i="4" s="1"/>
  <c r="P108" i="1"/>
  <c r="O109" i="1"/>
  <c r="O111" i="4" l="1"/>
  <c r="P111" i="4" s="1"/>
  <c r="P109" i="1"/>
  <c r="O110" i="1"/>
  <c r="O112" i="4" l="1"/>
  <c r="P112" i="4" s="1"/>
  <c r="P110" i="1"/>
  <c r="O111" i="1"/>
  <c r="O113" i="4" l="1"/>
  <c r="P113" i="4" s="1"/>
  <c r="P111" i="1"/>
  <c r="O112" i="1"/>
  <c r="O114" i="4" l="1"/>
  <c r="P114" i="4" s="1"/>
  <c r="P112" i="1"/>
  <c r="O113" i="1"/>
  <c r="O115" i="4" l="1"/>
  <c r="P115" i="4" s="1"/>
  <c r="P113" i="1"/>
  <c r="O114" i="1"/>
  <c r="O116" i="4" l="1"/>
  <c r="P116" i="4" s="1"/>
  <c r="P114" i="1"/>
  <c r="O115" i="1"/>
  <c r="O117" i="4" l="1"/>
  <c r="P117" i="4" s="1"/>
  <c r="P115" i="1"/>
  <c r="O116" i="1"/>
  <c r="O118" i="4" l="1"/>
  <c r="P118" i="4" s="1"/>
  <c r="S52" i="4" s="1"/>
  <c r="S51" i="4" s="1"/>
  <c r="S57" i="4" s="1"/>
  <c r="P116" i="1"/>
  <c r="O117" i="1"/>
  <c r="B38" i="4" l="1"/>
  <c r="B39" i="4"/>
  <c r="B37" i="4"/>
  <c r="B35" i="4"/>
  <c r="B32" i="4"/>
  <c r="B36" i="4"/>
  <c r="P117" i="1"/>
  <c r="O118" i="1"/>
  <c r="P118" i="1" s="1"/>
  <c r="S52" i="1" l="1"/>
  <c r="S51" i="1" s="1"/>
  <c r="S57" i="1" s="1"/>
  <c r="B32" i="1" s="1"/>
  <c r="B36" i="1" l="1"/>
  <c r="B37" i="1"/>
  <c r="B35" i="1"/>
</calcChain>
</file>

<file path=xl/sharedStrings.xml><?xml version="1.0" encoding="utf-8"?>
<sst xmlns="http://schemas.openxmlformats.org/spreadsheetml/2006/main" count="231" uniqueCount="104">
  <si>
    <t>cfm</t>
  </si>
  <si>
    <t>fan</t>
  </si>
  <si>
    <t>max flow</t>
  </si>
  <si>
    <t>Chemical</t>
  </si>
  <si>
    <t>K1</t>
  </si>
  <si>
    <t>K2</t>
  </si>
  <si>
    <t>Density</t>
  </si>
  <si>
    <t>Lay Name</t>
  </si>
  <si>
    <t>Name</t>
  </si>
  <si>
    <t>m^3/kg</t>
  </si>
  <si>
    <t>C*m^3/kg</t>
  </si>
  <si>
    <t>%</t>
  </si>
  <si>
    <t>kg/m^3</t>
  </si>
  <si>
    <t>kg/m3</t>
  </si>
  <si>
    <t>CF3I</t>
  </si>
  <si>
    <t>CEA-410</t>
  </si>
  <si>
    <t>FC-3-1-10</t>
  </si>
  <si>
    <t>FIC-13I1</t>
  </si>
  <si>
    <t>FK-5-1-12</t>
  </si>
  <si>
    <t>Novec 1230</t>
  </si>
  <si>
    <t>Sapphire</t>
  </si>
  <si>
    <t>NAF SIII</t>
  </si>
  <si>
    <t>HCFC Blend A</t>
  </si>
  <si>
    <t>FE-241</t>
  </si>
  <si>
    <t>HCFC-124</t>
  </si>
  <si>
    <t>ECARO</t>
  </si>
  <si>
    <t>HFC-125</t>
  </si>
  <si>
    <t>FE-25</t>
  </si>
  <si>
    <t>FM200 (NFPA)</t>
  </si>
  <si>
    <t>HFC-227ea</t>
  </si>
  <si>
    <t>FM200 (ISO)</t>
  </si>
  <si>
    <t>FE-227 (NFPA)</t>
  </si>
  <si>
    <t>FE-227 (ISO)</t>
  </si>
  <si>
    <t>FE-13</t>
  </si>
  <si>
    <t>HFC-23</t>
  </si>
  <si>
    <t>FE-36</t>
  </si>
  <si>
    <t>HFC-236fa</t>
  </si>
  <si>
    <t>Argon</t>
  </si>
  <si>
    <t>IG-01</t>
  </si>
  <si>
    <t>Nitrogen</t>
  </si>
  <si>
    <t>IG-100</t>
  </si>
  <si>
    <t>Inergen</t>
  </si>
  <si>
    <t>IG-541</t>
  </si>
  <si>
    <t>Argonite</t>
  </si>
  <si>
    <t>IG-55</t>
  </si>
  <si>
    <t>ProInert</t>
  </si>
  <si>
    <t>IG-55PI</t>
  </si>
  <si>
    <t>PyroShield</t>
  </si>
  <si>
    <t>CO2</t>
  </si>
  <si>
    <t>Halon</t>
  </si>
  <si>
    <t>Halon 1301</t>
  </si>
  <si>
    <t>Halotron II</t>
  </si>
  <si>
    <t>HFC Blend B</t>
  </si>
  <si>
    <t>Volume</t>
  </si>
  <si>
    <t>Agent</t>
  </si>
  <si>
    <t>Initial concentration</t>
  </si>
  <si>
    <t>Enclosure height</t>
  </si>
  <si>
    <t>Test type</t>
  </si>
  <si>
    <t>min</t>
  </si>
  <si>
    <t>Minimum concentration</t>
  </si>
  <si>
    <t>Minimum protected height</t>
  </si>
  <si>
    <t>m3</t>
  </si>
  <si>
    <t>m</t>
  </si>
  <si>
    <t>k3</t>
  </si>
  <si>
    <t>k2</t>
  </si>
  <si>
    <t>roh_mi</t>
  </si>
  <si>
    <t>nt</t>
  </si>
  <si>
    <t>k1</t>
  </si>
  <si>
    <t>Number of fans needed:</t>
  </si>
  <si>
    <t>Mixing:</t>
  </si>
  <si>
    <t>WRT</t>
  </si>
  <si>
    <t>ρm</t>
  </si>
  <si>
    <t>f(ρm)=</t>
  </si>
  <si>
    <t>roh_mf</t>
  </si>
  <si>
    <t>step</t>
  </si>
  <si>
    <t>flow needed</t>
  </si>
  <si>
    <t>Descending interface</t>
  </si>
  <si>
    <t>Pcolumn</t>
  </si>
  <si>
    <t>Standard</t>
  </si>
  <si>
    <t>He</t>
  </si>
  <si>
    <t>Instructions:</t>
  </si>
  <si>
    <t>Required hold time</t>
  </si>
  <si>
    <t>ft</t>
  </si>
  <si>
    <t>inputs -&gt; metric</t>
  </si>
  <si>
    <t>Ho</t>
  </si>
  <si>
    <t>H</t>
  </si>
  <si>
    <t>V</t>
  </si>
  <si>
    <t>1000 series fans</t>
  </si>
  <si>
    <t>2000 series fans</t>
  </si>
  <si>
    <t>3000 series fans</t>
  </si>
  <si>
    <t>Maximum flow needed:</t>
  </si>
  <si>
    <t>ISO 14520</t>
  </si>
  <si>
    <t>Retrotec Energy Innovations Ltd.</t>
  </si>
  <si>
    <t>Number of Fans Required for Enclosure Integrity Testing Calculator</t>
  </si>
  <si>
    <r>
      <t>S</t>
    </r>
    <r>
      <rPr>
        <vertAlign val="subscript"/>
        <sz val="8"/>
        <rFont val="Segoe UI"/>
        <family val="2"/>
      </rPr>
      <t>20</t>
    </r>
  </si>
  <si>
    <r>
      <t>1/S</t>
    </r>
    <r>
      <rPr>
        <vertAlign val="subscript"/>
        <sz val="8"/>
        <rFont val="Segoe UI"/>
        <family val="2"/>
      </rPr>
      <t>20</t>
    </r>
  </si>
  <si>
    <r>
      <t>m</t>
    </r>
    <r>
      <rPr>
        <vertAlign val="superscript"/>
        <sz val="11"/>
        <color theme="1"/>
        <rFont val="Segoe UI"/>
        <family val="2"/>
      </rPr>
      <t>3</t>
    </r>
  </si>
  <si>
    <r>
      <t>m</t>
    </r>
    <r>
      <rPr>
        <vertAlign val="superscript"/>
        <sz val="11"/>
        <color theme="1"/>
        <rFont val="Segoe UI"/>
        <family val="2"/>
      </rPr>
      <t>3</t>
    </r>
    <r>
      <rPr>
        <sz val="11"/>
        <color theme="1"/>
        <rFont val="Segoe UI"/>
        <family val="2"/>
      </rPr>
      <t>/h</t>
    </r>
  </si>
  <si>
    <r>
      <t>ft</t>
    </r>
    <r>
      <rPr>
        <vertAlign val="superscript"/>
        <sz val="11"/>
        <color theme="1"/>
        <rFont val="Segoe UI"/>
        <family val="2"/>
      </rPr>
      <t>3</t>
    </r>
  </si>
  <si>
    <r>
      <t>ft</t>
    </r>
    <r>
      <rPr>
        <vertAlign val="superscript"/>
        <sz val="11"/>
        <color theme="1"/>
        <rFont val="Segoe UI"/>
        <family val="2"/>
      </rPr>
      <t>3</t>
    </r>
    <r>
      <rPr>
        <sz val="11"/>
        <color theme="1"/>
        <rFont val="Segoe UI"/>
        <family val="2"/>
      </rPr>
      <t>/min</t>
    </r>
  </si>
  <si>
    <t>Fill out all of the blue cells to calculate how many fans you will need to perform an enclosure integrity test.   You can select between "IMPERIAL" and "METRIC"  units using the tabs at the bottom.</t>
  </si>
  <si>
    <t>5000 series fans</t>
  </si>
  <si>
    <t>6000 series fans</t>
  </si>
  <si>
    <t>5000series fans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</si>
</sst>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
    <numFmt numFmtId="165" formatCode="0.000"/>
    <numFmt numFmtId="166" formatCode="_(* #,##0_);_(* \(#,##0\);_(* &quot;-&quot;??_);_(@_)"/>
  </numFmts>
  <fonts count="13" x14ac:knownFonts="1">
    <font>
      <sz val="11"/>
      <color theme="1"/>
      <name val="Calibri"/>
      <family val="2"/>
      <scheme val="minor"/>
    </font>
    <font>
      <sz val="11"/>
      <color rgb="FF3F3F76"/>
      <name val="Calibri"/>
      <family val="2"/>
      <scheme val="minor"/>
    </font>
    <font>
      <b/>
      <sz val="11"/>
      <color theme="0"/>
      <name val="Calibri"/>
      <family val="2"/>
      <scheme val="minor"/>
    </font>
    <font>
      <b/>
      <sz val="10"/>
      <color theme="1"/>
      <name val="Segoe UI"/>
      <family val="2"/>
    </font>
    <font>
      <sz val="11"/>
      <color theme="0"/>
      <name val="Calibri"/>
      <family val="2"/>
      <scheme val="minor"/>
    </font>
    <font>
      <sz val="11"/>
      <color theme="1"/>
      <name val="Segoe UI"/>
      <family val="2"/>
    </font>
    <font>
      <b/>
      <sz val="11"/>
      <color theme="1"/>
      <name val="Segoe UI"/>
      <family val="2"/>
    </font>
    <font>
      <b/>
      <u/>
      <sz val="11"/>
      <color theme="1"/>
      <name val="Segoe UI"/>
      <family val="2"/>
    </font>
    <font>
      <sz val="11"/>
      <color rgb="FF3F3F76"/>
      <name val="Segoe UI"/>
      <family val="2"/>
    </font>
    <font>
      <sz val="11"/>
      <color theme="0"/>
      <name val="Segoe UI"/>
      <family val="2"/>
    </font>
    <font>
      <sz val="8"/>
      <name val="Segoe UI"/>
      <family val="2"/>
    </font>
    <font>
      <vertAlign val="subscript"/>
      <sz val="8"/>
      <name val="Segoe UI"/>
      <family val="2"/>
    </font>
    <font>
      <vertAlign val="superscript"/>
      <sz val="11"/>
      <color theme="1"/>
      <name val="Segoe UI"/>
      <family val="2"/>
    </font>
  </fonts>
  <fills count="7">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rgb="FF00B01D"/>
        <bgColor indexed="64"/>
      </patternFill>
    </fill>
    <fill>
      <patternFill patternType="solid">
        <fgColor rgb="FF0070C0"/>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s>
  <cellStyleXfs count="4">
    <xf numFmtId="0" fontId="0" fillId="0" borderId="0"/>
    <xf numFmtId="0" fontId="4" fillId="6" borderId="0" applyNumberFormat="0" applyBorder="0" applyAlignment="0" applyProtection="0"/>
    <xf numFmtId="0" fontId="1" fillId="2" borderId="1" applyNumberFormat="0" applyAlignment="0" applyProtection="0"/>
    <xf numFmtId="0" fontId="2" fillId="5" borderId="2" applyNumberFormat="0" applyBorder="0" applyAlignment="0" applyProtection="0"/>
  </cellStyleXfs>
  <cellXfs count="25">
    <xf numFmtId="0" fontId="0" fillId="0" borderId="0" xfId="0"/>
    <xf numFmtId="0" fontId="3" fillId="0" borderId="0" xfId="0" applyFont="1" applyBorder="1" applyAlignment="1">
      <alignment vertical="center"/>
    </xf>
    <xf numFmtId="0" fontId="5" fillId="3" borderId="0" xfId="0" applyFont="1" applyFill="1"/>
    <xf numFmtId="0" fontId="5" fillId="3" borderId="0" xfId="0" applyFont="1" applyFill="1" applyBorder="1"/>
    <xf numFmtId="0" fontId="5" fillId="0" borderId="0" xfId="0" applyFont="1"/>
    <xf numFmtId="0" fontId="7" fillId="3" borderId="0" xfId="0" applyFont="1" applyFill="1"/>
    <xf numFmtId="0" fontId="8" fillId="3" borderId="1" xfId="2" applyFont="1" applyFill="1"/>
    <xf numFmtId="0" fontId="5" fillId="3" borderId="0" xfId="0" applyFont="1" applyFill="1" applyAlignment="1">
      <alignment horizontal="right"/>
    </xf>
    <xf numFmtId="0" fontId="10" fillId="3" borderId="0" xfId="0" applyFont="1" applyFill="1" applyAlignment="1">
      <alignment horizontal="right"/>
    </xf>
    <xf numFmtId="0" fontId="9" fillId="6" borderId="0" xfId="1" applyFont="1" applyProtection="1">
      <protection locked="0"/>
    </xf>
    <xf numFmtId="164" fontId="5" fillId="3" borderId="0" xfId="0" applyNumberFormat="1" applyFont="1" applyFill="1"/>
    <xf numFmtId="165" fontId="5" fillId="3" borderId="0" xfId="0" applyNumberFormat="1" applyFont="1" applyFill="1"/>
    <xf numFmtId="2" fontId="5" fillId="3" borderId="0" xfId="0" applyNumberFormat="1" applyFont="1" applyFill="1"/>
    <xf numFmtId="166" fontId="9" fillId="5" borderId="0" xfId="3" applyNumberFormat="1" applyFont="1" applyBorder="1"/>
    <xf numFmtId="0" fontId="5" fillId="3" borderId="0" xfId="0" applyFont="1" applyFill="1" applyAlignment="1">
      <alignment horizontal="left"/>
    </xf>
    <xf numFmtId="0" fontId="9" fillId="5" borderId="0" xfId="3" applyFont="1" applyBorder="1"/>
    <xf numFmtId="166" fontId="4" fillId="5" borderId="0" xfId="3" applyNumberFormat="1" applyFont="1" applyBorder="1" applyAlignment="1">
      <alignment vertical="center"/>
    </xf>
    <xf numFmtId="0" fontId="5" fillId="3" borderId="0" xfId="0" applyFont="1" applyFill="1" applyBorder="1" applyAlignment="1">
      <alignment horizontal="left"/>
    </xf>
    <xf numFmtId="0" fontId="6" fillId="3" borderId="0" xfId="0" applyFont="1" applyFill="1" applyBorder="1" applyAlignment="1"/>
    <xf numFmtId="0" fontId="5" fillId="0" borderId="0" xfId="0" applyFont="1" applyAlignment="1"/>
    <xf numFmtId="0" fontId="5" fillId="4" borderId="3" xfId="0" applyFont="1" applyFill="1" applyBorder="1" applyAlignment="1">
      <alignment horizontal="left" wrapText="1"/>
    </xf>
    <xf numFmtId="0" fontId="5" fillId="4" borderId="0" xfId="0" applyFont="1" applyFill="1" applyBorder="1" applyAlignment="1">
      <alignment horizontal="left" wrapText="1"/>
    </xf>
    <xf numFmtId="0" fontId="5" fillId="0" borderId="0" xfId="0" applyFont="1" applyAlignment="1">
      <alignment wrapText="1"/>
    </xf>
    <xf numFmtId="0" fontId="9" fillId="6" borderId="0" xfId="1" applyFont="1" applyAlignment="1" applyProtection="1">
      <alignment horizontal="left"/>
      <protection locked="0"/>
    </xf>
    <xf numFmtId="0" fontId="5" fillId="3" borderId="0" xfId="0" applyFont="1" applyFill="1" applyAlignment="1">
      <alignment horizontal="center"/>
    </xf>
  </cellXfs>
  <cellStyles count="4">
    <cellStyle name="Check Cell" xfId="3" builtinId="23" customBuiltin="1"/>
    <cellStyle name="Good" xfId="1" builtinId="26" customBuiltin="1"/>
    <cellStyle name="Input" xfId="2" builtinId="20"/>
    <cellStyle name="Normal" xfId="0" builtinId="0"/>
  </cellStyles>
  <dxfs count="4">
    <dxf>
      <font>
        <color theme="0"/>
      </font>
      <fill>
        <patternFill patternType="solid">
          <fgColor indexed="64"/>
          <bgColor theme="0"/>
        </patternFill>
      </fill>
    </dxf>
    <dxf>
      <font>
        <color theme="0"/>
      </font>
      <fill>
        <patternFill patternType="solid">
          <bgColor theme="0"/>
        </patternFill>
      </fill>
    </dxf>
    <dxf>
      <font>
        <color theme="0"/>
      </font>
      <fill>
        <patternFill patternType="solid">
          <fgColor indexed="64"/>
          <bgColor theme="0"/>
        </patternFill>
      </fill>
    </dxf>
    <dxf>
      <font>
        <color theme="0"/>
      </font>
      <fill>
        <patternFill patternType="solid">
          <bgColor theme="0"/>
        </patternFill>
      </fill>
    </dxf>
  </dxfs>
  <tableStyles count="0" defaultTableStyle="TableStyleMedium9" defaultPivotStyle="PivotStyleLight16"/>
  <colors>
    <mruColors>
      <color rgb="FF00B01D"/>
      <color rgb="FF02AE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114300</xdr:rowOff>
    </xdr:from>
    <xdr:to>
      <xdr:col>6</xdr:col>
      <xdr:colOff>9525</xdr:colOff>
      <xdr:row>14</xdr:row>
      <xdr:rowOff>47626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0" y="876300"/>
          <a:ext cx="4467225" cy="202882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you require any assistance, please contact us via the following:</a:t>
          </a:r>
        </a:p>
        <a:p>
          <a:endParaRPr lang="en-US" sz="1100"/>
        </a:p>
        <a:p>
          <a:r>
            <a:rPr lang="en-US" sz="1100" b="1"/>
            <a:t>Website:</a:t>
          </a:r>
          <a:r>
            <a:rPr lang="en-US" sz="1100" b="1" baseline="0"/>
            <a:t> </a:t>
          </a:r>
          <a:r>
            <a:rPr lang="en-US" sz="1100" baseline="0"/>
            <a:t>	http://www.retrotec.com</a:t>
          </a:r>
          <a:endParaRPr lang="en-US" sz="1100"/>
        </a:p>
        <a:p>
          <a:endParaRPr lang="en-US" sz="1100"/>
        </a:p>
        <a:p>
          <a:r>
            <a:rPr lang="en-US" sz="1100" b="1"/>
            <a:t>Sales/Rentals -</a:t>
          </a:r>
        </a:p>
        <a:p>
          <a:r>
            <a:rPr lang="en-US" sz="1100" b="1"/>
            <a:t>Tel:	</a:t>
          </a:r>
          <a:r>
            <a:rPr lang="en-US" sz="1100" b="0"/>
            <a:t>+1 (855) 738-7683</a:t>
          </a:r>
        </a:p>
        <a:p>
          <a:r>
            <a:rPr lang="en-US" sz="1100" b="1"/>
            <a:t>Email:</a:t>
          </a:r>
          <a:r>
            <a:rPr lang="en-US" sz="1100" b="1" baseline="0"/>
            <a:t> 	</a:t>
          </a:r>
          <a:r>
            <a:rPr lang="en-US" sz="1100" b="0" baseline="0"/>
            <a:t>sales@retrotec.com</a:t>
          </a:r>
        </a:p>
        <a:p>
          <a:endParaRPr lang="en-US" sz="1100" b="1" baseline="0"/>
        </a:p>
        <a:p>
          <a:r>
            <a:rPr lang="en-US" sz="1100" b="1" baseline="0"/>
            <a:t>Support - </a:t>
          </a:r>
        </a:p>
        <a:p>
          <a:r>
            <a:rPr lang="en-US" sz="1100" b="1"/>
            <a:t>Tel:	</a:t>
          </a:r>
          <a:r>
            <a:rPr lang="en-US" sz="1100" b="0"/>
            <a:t>+1 (888) 330-1345</a:t>
          </a:r>
        </a:p>
        <a:p>
          <a:r>
            <a:rPr lang="en-US" sz="1100" b="1"/>
            <a:t>Email:	</a:t>
          </a:r>
          <a:r>
            <a:rPr lang="en-US" sz="1100" b="0"/>
            <a:t>support@retrotec.com</a:t>
          </a:r>
        </a:p>
      </xdr:txBody>
    </xdr:sp>
    <xdr:clientData/>
  </xdr:twoCellAnchor>
  <xdr:twoCellAnchor editAs="oneCell">
    <xdr:from>
      <xdr:col>0</xdr:col>
      <xdr:colOff>0</xdr:colOff>
      <xdr:row>0</xdr:row>
      <xdr:rowOff>0</xdr:rowOff>
    </xdr:from>
    <xdr:to>
      <xdr:col>2</xdr:col>
      <xdr:colOff>266700</xdr:colOff>
      <xdr:row>2</xdr:row>
      <xdr:rowOff>50458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43175" cy="469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114300</xdr:rowOff>
    </xdr:from>
    <xdr:to>
      <xdr:col>5</xdr:col>
      <xdr:colOff>381000</xdr:colOff>
      <xdr:row>14</xdr:row>
      <xdr:rowOff>47626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876300"/>
          <a:ext cx="4019550" cy="202882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you require any assistance, please contact us via the following:</a:t>
          </a:r>
        </a:p>
        <a:p>
          <a:endParaRPr lang="en-US" sz="1100"/>
        </a:p>
        <a:p>
          <a:r>
            <a:rPr lang="en-US" sz="1100" b="1"/>
            <a:t>Website:</a:t>
          </a:r>
          <a:r>
            <a:rPr lang="en-US" sz="1100" b="1" baseline="0"/>
            <a:t> </a:t>
          </a:r>
          <a:r>
            <a:rPr lang="en-US" sz="1100" baseline="0"/>
            <a:t>	http://www.retrotec.com</a:t>
          </a:r>
          <a:endParaRPr lang="en-US" sz="1100"/>
        </a:p>
        <a:p>
          <a:endParaRPr lang="en-US" sz="1100"/>
        </a:p>
        <a:p>
          <a:r>
            <a:rPr lang="en-US" sz="1100" b="1"/>
            <a:t>Sales/Rentals -</a:t>
          </a:r>
        </a:p>
        <a:p>
          <a:r>
            <a:rPr lang="en-US" sz="1100" b="1"/>
            <a:t>Tel:	</a:t>
          </a:r>
          <a:r>
            <a:rPr lang="en-US" sz="1100" b="0"/>
            <a:t>+1 (855) 738-7683</a:t>
          </a:r>
        </a:p>
        <a:p>
          <a:r>
            <a:rPr lang="en-US" sz="1100" b="1"/>
            <a:t>Email:</a:t>
          </a:r>
          <a:r>
            <a:rPr lang="en-US" sz="1100" b="1" baseline="0"/>
            <a:t> 	</a:t>
          </a:r>
          <a:r>
            <a:rPr lang="en-US" sz="1100" b="0" baseline="0"/>
            <a:t>sales@retrotec.com</a:t>
          </a:r>
        </a:p>
        <a:p>
          <a:endParaRPr lang="en-US" sz="1100" b="1" baseline="0"/>
        </a:p>
        <a:p>
          <a:r>
            <a:rPr lang="en-US" sz="1100" b="1" baseline="0"/>
            <a:t>Support - </a:t>
          </a:r>
        </a:p>
        <a:p>
          <a:r>
            <a:rPr lang="en-US" sz="1100" b="1"/>
            <a:t>Tel:	</a:t>
          </a:r>
          <a:r>
            <a:rPr lang="en-US" sz="1100" b="0"/>
            <a:t>+1 (888) 330-1345</a:t>
          </a:r>
        </a:p>
        <a:p>
          <a:r>
            <a:rPr lang="en-US" sz="1100" b="1"/>
            <a:t>Email:	</a:t>
          </a:r>
          <a:r>
            <a:rPr lang="en-US" sz="1100" b="0"/>
            <a:t>support@retrotec.com</a:t>
          </a:r>
        </a:p>
      </xdr:txBody>
    </xdr:sp>
    <xdr:clientData/>
  </xdr:twoCellAnchor>
  <xdr:twoCellAnchor editAs="oneCell">
    <xdr:from>
      <xdr:col>0</xdr:col>
      <xdr:colOff>0</xdr:colOff>
      <xdr:row>0</xdr:row>
      <xdr:rowOff>0</xdr:rowOff>
    </xdr:from>
    <xdr:to>
      <xdr:col>2</xdr:col>
      <xdr:colOff>95250</xdr:colOff>
      <xdr:row>2</xdr:row>
      <xdr:rowOff>50458</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43175" cy="4695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118"/>
  <sheetViews>
    <sheetView tabSelected="1" zoomScale="70" zoomScaleNormal="70" workbookViewId="0">
      <selection activeCell="B21" sqref="B21:D21"/>
    </sheetView>
  </sheetViews>
  <sheetFormatPr defaultColWidth="9.1796875" defaultRowHeight="16.5" x14ac:dyDescent="0.45"/>
  <cols>
    <col min="1" max="1" width="25.26953125" style="2" bestFit="1" customWidth="1"/>
    <col min="2" max="2" width="8.81640625" style="2" customWidth="1"/>
    <col min="3" max="3" width="5.54296875" style="2" customWidth="1"/>
    <col min="4" max="4" width="6.81640625" style="2" customWidth="1"/>
    <col min="5" max="5" width="9.1796875" style="2"/>
    <col min="6" max="6" width="12.26953125" style="2" bestFit="1" customWidth="1"/>
    <col min="7" max="7" width="8.54296875" style="2" bestFit="1" customWidth="1"/>
    <col min="8" max="13" width="9.1796875" style="2"/>
    <col min="14" max="15" width="9.1796875" style="2" hidden="1" customWidth="1"/>
    <col min="16" max="16" width="12.90625" style="2" hidden="1" customWidth="1"/>
    <col min="17" max="17" width="9.1796875" style="2" hidden="1" customWidth="1"/>
    <col min="18" max="18" width="13.54296875" style="2" hidden="1" customWidth="1"/>
    <col min="19" max="19" width="12.81640625" style="2" hidden="1" customWidth="1"/>
    <col min="20" max="24" width="9.1796875" style="2" hidden="1" customWidth="1"/>
    <col min="25" max="16384" width="9.1796875" style="2"/>
  </cols>
  <sheetData>
    <row r="1" spans="1:23" x14ac:dyDescent="0.45">
      <c r="F1" s="2" t="s">
        <v>92</v>
      </c>
    </row>
    <row r="3" spans="1:23" x14ac:dyDescent="0.45">
      <c r="F3" s="2" t="s">
        <v>93</v>
      </c>
    </row>
    <row r="5" spans="1:23" s="3" customFormat="1" x14ac:dyDescent="0.45"/>
    <row r="6" spans="1:23" s="3" customFormat="1" x14ac:dyDescent="0.45">
      <c r="A6" s="4"/>
    </row>
    <row r="7" spans="1:23" s="3" customFormat="1" x14ac:dyDescent="0.45"/>
    <row r="8" spans="1:23" s="3" customFormat="1" x14ac:dyDescent="0.45"/>
    <row r="9" spans="1:23" s="3" customFormat="1" x14ac:dyDescent="0.45"/>
    <row r="10" spans="1:23" s="3" customFormat="1" x14ac:dyDescent="0.45"/>
    <row r="11" spans="1:23" s="3" customFormat="1" x14ac:dyDescent="0.45"/>
    <row r="12" spans="1:23" s="3" customFormat="1" x14ac:dyDescent="0.45"/>
    <row r="13" spans="1:23" s="3" customFormat="1" x14ac:dyDescent="0.45"/>
    <row r="14" spans="1:23" s="3" customFormat="1" x14ac:dyDescent="0.45"/>
    <row r="15" spans="1:23" s="3" customFormat="1" x14ac:dyDescent="0.45">
      <c r="G15" s="18"/>
      <c r="H15" s="19"/>
    </row>
    <row r="16" spans="1:23" x14ac:dyDescent="0.45">
      <c r="A16" s="5" t="s">
        <v>80</v>
      </c>
      <c r="N16" s="2" t="s">
        <v>74</v>
      </c>
      <c r="O16" s="2" t="s">
        <v>69</v>
      </c>
      <c r="P16" s="2" t="s">
        <v>70</v>
      </c>
      <c r="V16" s="2" t="s">
        <v>1</v>
      </c>
      <c r="W16" s="2" t="s">
        <v>2</v>
      </c>
    </row>
    <row r="17" spans="1:24" ht="15" customHeight="1" x14ac:dyDescent="0.45">
      <c r="A17" s="20" t="s">
        <v>100</v>
      </c>
      <c r="B17" s="21"/>
      <c r="C17" s="21"/>
      <c r="D17" s="22"/>
      <c r="E17" s="22"/>
      <c r="F17" s="22"/>
      <c r="N17" s="6">
        <f>(S54-S55)/100</f>
        <v>1.2115999999999993E-3</v>
      </c>
      <c r="O17" s="6" t="s">
        <v>71</v>
      </c>
      <c r="P17" s="6" t="s">
        <v>72</v>
      </c>
      <c r="V17" s="2">
        <v>1000</v>
      </c>
      <c r="W17" s="2">
        <v>5600</v>
      </c>
      <c r="X17" s="2" t="s">
        <v>0</v>
      </c>
    </row>
    <row r="18" spans="1:24" x14ac:dyDescent="0.45">
      <c r="A18" s="20"/>
      <c r="B18" s="21"/>
      <c r="C18" s="21"/>
      <c r="D18" s="22"/>
      <c r="E18" s="22"/>
      <c r="F18" s="22"/>
      <c r="O18" s="2">
        <f>$S$54</f>
        <v>1.74722</v>
      </c>
      <c r="P18" s="2">
        <f>((2*9.81*$S$65*ABS(O18-1.202)^(($S$56+1)/$S$56)+2*0*ABS(O18-1.202)^(1/$S$56))/(O18+1.202*(0.5/(1-0.5))^(1/$S$56)))^(-1*$S$56)</f>
        <v>0.26732730237358004</v>
      </c>
      <c r="V18" s="2">
        <v>2000</v>
      </c>
      <c r="W18" s="2">
        <v>5600</v>
      </c>
      <c r="X18" s="2" t="s">
        <v>0</v>
      </c>
    </row>
    <row r="19" spans="1:24" x14ac:dyDescent="0.45">
      <c r="A19" s="20"/>
      <c r="B19" s="21"/>
      <c r="C19" s="21"/>
      <c r="D19" s="22"/>
      <c r="E19" s="22"/>
      <c r="F19" s="22"/>
      <c r="O19" s="2">
        <f t="shared" ref="O19:O82" si="0">O18-$N$17</f>
        <v>1.7460084</v>
      </c>
      <c r="P19" s="2">
        <f>((2*9.81*$S$65*ABS(O19-1.202)^(($S$56+1)/$S$56)+2*0*ABS(O19-1.202)^(1/$S$56))/(O19+1.202*(0.5/(1-0.5))^(1/$S$56)))^(-1*$S$56)</f>
        <v>0.26819009501699537</v>
      </c>
      <c r="V19" s="2">
        <v>3000</v>
      </c>
      <c r="W19" s="2">
        <v>7100</v>
      </c>
      <c r="X19" s="2" t="s">
        <v>0</v>
      </c>
    </row>
    <row r="20" spans="1:24" x14ac:dyDescent="0.45">
      <c r="H20" s="1"/>
      <c r="O20" s="2">
        <f t="shared" si="0"/>
        <v>1.7447968</v>
      </c>
      <c r="P20" s="2">
        <f t="shared" ref="P20:P82" si="1">((2*9.81*$S$65*ABS(O20-1.202)^(($S$56+1)/$S$56)+2*0*ABS(O20-1.202)^(1/$S$56))/(O20+1.202*(0.5/(1-0.5))^(1/$S$56)))^(-1*$S$56)</f>
        <v>0.26905771594286959</v>
      </c>
      <c r="V20" s="7">
        <v>5000</v>
      </c>
      <c r="W20" s="2">
        <v>5700</v>
      </c>
      <c r="X20" s="2" t="s">
        <v>0</v>
      </c>
    </row>
    <row r="21" spans="1:24" x14ac:dyDescent="0.45">
      <c r="A21" s="7" t="s">
        <v>78</v>
      </c>
      <c r="B21" s="23" t="s">
        <v>91</v>
      </c>
      <c r="C21" s="23"/>
      <c r="D21" s="23"/>
      <c r="O21" s="2">
        <f t="shared" si="0"/>
        <v>1.7435852000000001</v>
      </c>
      <c r="P21" s="2">
        <f t="shared" si="1"/>
        <v>0.26993020322738481</v>
      </c>
      <c r="V21" s="2">
        <v>6000</v>
      </c>
      <c r="W21" s="2">
        <v>7700</v>
      </c>
      <c r="X21" s="2" t="s">
        <v>0</v>
      </c>
    </row>
    <row r="22" spans="1:24" x14ac:dyDescent="0.45">
      <c r="A22" s="7" t="s">
        <v>57</v>
      </c>
      <c r="B22" s="23" t="s">
        <v>76</v>
      </c>
      <c r="C22" s="23"/>
      <c r="D22" s="23"/>
      <c r="O22" s="2">
        <f t="shared" si="0"/>
        <v>1.7423736000000001</v>
      </c>
      <c r="P22" s="2">
        <f t="shared" si="1"/>
        <v>0.27080759533375326</v>
      </c>
    </row>
    <row r="23" spans="1:24" x14ac:dyDescent="0.45">
      <c r="A23" s="7" t="s">
        <v>54</v>
      </c>
      <c r="B23" s="23" t="s">
        <v>28</v>
      </c>
      <c r="C23" s="23"/>
      <c r="O23" s="2">
        <f t="shared" si="0"/>
        <v>1.7411620000000001</v>
      </c>
      <c r="P23" s="2">
        <f t="shared" si="1"/>
        <v>0.27168993111703416</v>
      </c>
      <c r="S23" s="2" t="s">
        <v>3</v>
      </c>
      <c r="T23" s="7" t="s">
        <v>4</v>
      </c>
      <c r="U23" s="7" t="s">
        <v>5</v>
      </c>
      <c r="V23" s="8" t="s">
        <v>94</v>
      </c>
      <c r="W23" s="8" t="s">
        <v>95</v>
      </c>
      <c r="X23" s="7" t="s">
        <v>6</v>
      </c>
    </row>
    <row r="24" spans="1:24" ht="18" x14ac:dyDescent="0.45">
      <c r="A24" s="7" t="s">
        <v>53</v>
      </c>
      <c r="B24" s="9">
        <v>300000</v>
      </c>
      <c r="C24" s="2" t="s">
        <v>98</v>
      </c>
      <c r="O24" s="2">
        <f t="shared" si="0"/>
        <v>1.7399504000000001</v>
      </c>
      <c r="P24" s="2">
        <f t="shared" si="1"/>
        <v>0.27257724982902176</v>
      </c>
      <c r="R24" s="2" t="s">
        <v>7</v>
      </c>
      <c r="S24" s="2" t="s">
        <v>8</v>
      </c>
      <c r="T24" s="8" t="s">
        <v>9</v>
      </c>
      <c r="U24" s="8" t="s">
        <v>10</v>
      </c>
      <c r="V24" s="8" t="s">
        <v>9</v>
      </c>
      <c r="W24" s="8" t="s">
        <v>12</v>
      </c>
      <c r="X24" s="8" t="s">
        <v>13</v>
      </c>
    </row>
    <row r="25" spans="1:24" x14ac:dyDescent="0.45">
      <c r="A25" s="7" t="s">
        <v>56</v>
      </c>
      <c r="B25" s="9">
        <v>30</v>
      </c>
      <c r="C25" s="2" t="s">
        <v>82</v>
      </c>
      <c r="O25" s="2">
        <f t="shared" si="0"/>
        <v>1.7387388000000001</v>
      </c>
      <c r="P25" s="2">
        <f t="shared" si="1"/>
        <v>0.2734695911232049</v>
      </c>
      <c r="R25" s="2" t="s">
        <v>14</v>
      </c>
      <c r="S25" s="2" t="s">
        <v>14</v>
      </c>
      <c r="T25" s="10">
        <v>0.1138</v>
      </c>
      <c r="U25" s="10">
        <v>5.0000000000000001E-4</v>
      </c>
      <c r="V25" s="2">
        <v>0.12379999999999999</v>
      </c>
      <c r="W25" s="2">
        <v>8.077544426494347</v>
      </c>
      <c r="X25" s="11">
        <v>8.0510000000000002</v>
      </c>
    </row>
    <row r="26" spans="1:24" x14ac:dyDescent="0.45">
      <c r="A26" s="7" t="s">
        <v>60</v>
      </c>
      <c r="B26" s="9">
        <v>20</v>
      </c>
      <c r="C26" s="2" t="s">
        <v>82</v>
      </c>
      <c r="O26" s="2">
        <f t="shared" si="0"/>
        <v>1.7375272000000002</v>
      </c>
      <c r="P26" s="2">
        <f t="shared" si="1"/>
        <v>0.27436699505980094</v>
      </c>
      <c r="R26" s="2" t="s">
        <v>15</v>
      </c>
      <c r="S26" s="2" t="s">
        <v>16</v>
      </c>
      <c r="T26" s="10">
        <v>9.4103999999999993E-2</v>
      </c>
      <c r="U26" s="10">
        <v>3.4455E-4</v>
      </c>
      <c r="V26" s="2">
        <v>0.10100000000000001</v>
      </c>
      <c r="W26" s="2">
        <v>9.9009900990099009</v>
      </c>
      <c r="X26" s="11">
        <v>9.85</v>
      </c>
    </row>
    <row r="27" spans="1:24" x14ac:dyDescent="0.45">
      <c r="A27" s="7" t="s">
        <v>55</v>
      </c>
      <c r="B27" s="9">
        <v>9</v>
      </c>
      <c r="C27" s="2" t="s">
        <v>11</v>
      </c>
      <c r="O27" s="2">
        <f t="shared" si="0"/>
        <v>1.7363156000000002</v>
      </c>
      <c r="P27" s="2">
        <f t="shared" si="1"/>
        <v>0.27526950211086348</v>
      </c>
      <c r="R27" s="2" t="s">
        <v>17</v>
      </c>
      <c r="S27" s="2" t="s">
        <v>17</v>
      </c>
      <c r="T27" s="10">
        <v>0.1138</v>
      </c>
      <c r="U27" s="10">
        <v>5.0000000000000001E-4</v>
      </c>
      <c r="V27" s="2">
        <v>0.12379999999999999</v>
      </c>
      <c r="W27" s="2">
        <v>8.077544426494347</v>
      </c>
      <c r="X27" s="11">
        <v>8.0510000000000002</v>
      </c>
    </row>
    <row r="28" spans="1:24" x14ac:dyDescent="0.45">
      <c r="A28" s="7" t="s">
        <v>59</v>
      </c>
      <c r="B28" s="9">
        <v>7</v>
      </c>
      <c r="C28" s="2" t="s">
        <v>11</v>
      </c>
      <c r="O28" s="2">
        <f t="shared" si="0"/>
        <v>1.7351040000000002</v>
      </c>
      <c r="P28" s="2">
        <f t="shared" si="1"/>
        <v>0.27617715316546643</v>
      </c>
      <c r="R28" s="2" t="s">
        <v>19</v>
      </c>
      <c r="S28" s="2" t="s">
        <v>18</v>
      </c>
      <c r="T28" s="10">
        <v>6.6400000000000001E-2</v>
      </c>
      <c r="U28" s="10">
        <v>2.7409999999999999E-4</v>
      </c>
      <c r="V28" s="2">
        <v>7.1886000000000005E-2</v>
      </c>
      <c r="W28" s="2">
        <v>13.910914503519461</v>
      </c>
      <c r="X28" s="11">
        <v>13.86</v>
      </c>
    </row>
    <row r="29" spans="1:24" x14ac:dyDescent="0.45">
      <c r="A29" s="7" t="s">
        <v>81</v>
      </c>
      <c r="B29" s="9">
        <v>10</v>
      </c>
      <c r="C29" s="2" t="s">
        <v>58</v>
      </c>
      <c r="O29" s="2">
        <f t="shared" si="0"/>
        <v>1.7338924000000002</v>
      </c>
      <c r="P29" s="2">
        <f t="shared" si="1"/>
        <v>0.27708998953496555</v>
      </c>
      <c r="R29" s="2" t="s">
        <v>20</v>
      </c>
      <c r="S29" s="2" t="s">
        <v>18</v>
      </c>
      <c r="T29" s="10">
        <v>6.6400000000000001E-2</v>
      </c>
      <c r="U29" s="10">
        <v>2.7409999999999999E-4</v>
      </c>
      <c r="V29" s="2">
        <v>7.1886000000000005E-2</v>
      </c>
      <c r="W29" s="2">
        <v>13.910914503519461</v>
      </c>
      <c r="X29" s="11">
        <v>13.86</v>
      </c>
    </row>
    <row r="30" spans="1:24" x14ac:dyDescent="0.45">
      <c r="A30" s="7"/>
      <c r="O30" s="2">
        <f t="shared" si="0"/>
        <v>1.7326808000000002</v>
      </c>
      <c r="P30" s="2">
        <f t="shared" si="1"/>
        <v>0.27800805295833803</v>
      </c>
      <c r="R30" s="2" t="s">
        <v>21</v>
      </c>
      <c r="S30" s="2" t="s">
        <v>22</v>
      </c>
      <c r="T30" s="10">
        <v>0.24129999999999999</v>
      </c>
      <c r="U30" s="10">
        <v>8.8000000000000003E-4</v>
      </c>
      <c r="V30" s="2">
        <v>0.25890000000000002</v>
      </c>
      <c r="W30" s="2">
        <v>3.8624951718810348</v>
      </c>
      <c r="X30" s="11">
        <v>3.84</v>
      </c>
    </row>
    <row r="31" spans="1:24" x14ac:dyDescent="0.45">
      <c r="B31" s="14" t="s">
        <v>90</v>
      </c>
      <c r="O31" s="2">
        <f t="shared" si="0"/>
        <v>1.7314692000000003</v>
      </c>
      <c r="P31" s="2">
        <f t="shared" si="1"/>
        <v>0.27893138560760239</v>
      </c>
      <c r="R31" s="2" t="s">
        <v>23</v>
      </c>
      <c r="S31" s="2" t="s">
        <v>24</v>
      </c>
      <c r="T31" s="10">
        <v>0.1585</v>
      </c>
      <c r="U31" s="10">
        <v>5.9999999999999995E-4</v>
      </c>
      <c r="V31" s="2">
        <v>0.1714</v>
      </c>
      <c r="W31" s="2">
        <v>5.8343057176196034</v>
      </c>
      <c r="X31" s="11">
        <v>5.81</v>
      </c>
    </row>
    <row r="32" spans="1:24" ht="18" x14ac:dyDescent="0.45">
      <c r="B32" s="16">
        <f>S57</f>
        <v>22739.219794542336</v>
      </c>
      <c r="C32" s="2" t="s">
        <v>99</v>
      </c>
      <c r="O32" s="2">
        <f t="shared" si="0"/>
        <v>1.7302576000000003</v>
      </c>
      <c r="P32" s="2">
        <f t="shared" si="1"/>
        <v>0.27986003009331983</v>
      </c>
      <c r="R32" s="2" t="s">
        <v>25</v>
      </c>
      <c r="S32" s="2" t="s">
        <v>26</v>
      </c>
      <c r="T32" s="10">
        <v>0.18260000000000001</v>
      </c>
      <c r="U32" s="10">
        <v>6.9999999999999999E-4</v>
      </c>
      <c r="V32" s="2">
        <v>0.19719999999999999</v>
      </c>
      <c r="W32" s="2">
        <v>5.0709939148073024</v>
      </c>
      <c r="X32" s="11">
        <v>5.0199999999999996</v>
      </c>
    </row>
    <row r="33" spans="2:24" x14ac:dyDescent="0.45">
      <c r="B33" s="3"/>
      <c r="O33" s="2">
        <f t="shared" si="0"/>
        <v>1.7290460000000003</v>
      </c>
      <c r="P33" s="2">
        <f t="shared" si="1"/>
        <v>0.28079402947017745</v>
      </c>
      <c r="R33" s="2" t="s">
        <v>27</v>
      </c>
      <c r="S33" s="2" t="s">
        <v>26</v>
      </c>
      <c r="T33" s="10">
        <v>0.18260000000000001</v>
      </c>
      <c r="U33" s="10">
        <v>6.9999999999999999E-4</v>
      </c>
      <c r="V33" s="2">
        <v>0.19719999999999999</v>
      </c>
      <c r="W33" s="2">
        <v>5.0709939148073024</v>
      </c>
      <c r="X33" s="11">
        <v>5.0199999999999996</v>
      </c>
    </row>
    <row r="34" spans="2:24" x14ac:dyDescent="0.45">
      <c r="B34" s="17" t="s">
        <v>68</v>
      </c>
      <c r="O34" s="2">
        <f t="shared" si="0"/>
        <v>1.7278344000000003</v>
      </c>
      <c r="P34" s="2">
        <f t="shared" si="1"/>
        <v>0.28173342724265699</v>
      </c>
      <c r="R34" s="2" t="s">
        <v>28</v>
      </c>
      <c r="S34" s="2" t="s">
        <v>29</v>
      </c>
      <c r="T34" s="10">
        <v>0.12690000000000001</v>
      </c>
      <c r="U34" s="10">
        <v>5.0000000000000001E-4</v>
      </c>
      <c r="V34" s="2">
        <v>0.13730000000000001</v>
      </c>
      <c r="W34" s="2">
        <v>7.2833211944646754</v>
      </c>
      <c r="X34" s="11">
        <v>7.26</v>
      </c>
    </row>
    <row r="35" spans="2:24" x14ac:dyDescent="0.45">
      <c r="B35" s="15">
        <f>ROUNDUP($S$57/W17,0)</f>
        <v>5</v>
      </c>
      <c r="C35" s="14" t="s">
        <v>87</v>
      </c>
      <c r="O35" s="2">
        <f t="shared" si="0"/>
        <v>1.7266228000000003</v>
      </c>
      <c r="P35" s="2">
        <f t="shared" si="1"/>
        <v>0.28267826737078844</v>
      </c>
      <c r="R35" s="2" t="s">
        <v>30</v>
      </c>
      <c r="S35" s="2" t="s">
        <v>29</v>
      </c>
      <c r="T35" s="10">
        <v>0.12690000000000001</v>
      </c>
      <c r="U35" s="10">
        <v>5.13E-4</v>
      </c>
      <c r="V35" s="2">
        <v>0.13730000000000001</v>
      </c>
      <c r="W35" s="2">
        <v>7.2833211944646754</v>
      </c>
      <c r="X35" s="11">
        <v>7.26</v>
      </c>
    </row>
    <row r="36" spans="2:24" x14ac:dyDescent="0.45">
      <c r="B36" s="15">
        <f>ROUNDUP($S$57/W18,0)</f>
        <v>5</v>
      </c>
      <c r="C36" s="14" t="s">
        <v>88</v>
      </c>
      <c r="O36" s="2">
        <f t="shared" si="0"/>
        <v>1.7254112000000004</v>
      </c>
      <c r="P36" s="2">
        <f t="shared" si="1"/>
        <v>0.28362859427598996</v>
      </c>
      <c r="R36" s="2" t="s">
        <v>31</v>
      </c>
      <c r="S36" s="2" t="s">
        <v>29</v>
      </c>
      <c r="T36" s="10">
        <v>0.12690000000000001</v>
      </c>
      <c r="U36" s="10">
        <v>5.0000000000000001E-4</v>
      </c>
      <c r="V36" s="2">
        <v>0.13730000000000001</v>
      </c>
      <c r="W36" s="2">
        <v>7.2833211944646754</v>
      </c>
      <c r="X36" s="11">
        <v>7.26</v>
      </c>
    </row>
    <row r="37" spans="2:24" x14ac:dyDescent="0.45">
      <c r="B37" s="15">
        <f>ROUNDUP($S$57/W19,0)</f>
        <v>4</v>
      </c>
      <c r="C37" s="14" t="s">
        <v>89</v>
      </c>
      <c r="O37" s="2">
        <f t="shared" si="0"/>
        <v>1.7241996000000004</v>
      </c>
      <c r="P37" s="2">
        <f t="shared" si="1"/>
        <v>0.28458445284699846</v>
      </c>
      <c r="R37" s="2" t="s">
        <v>32</v>
      </c>
      <c r="S37" s="2" t="s">
        <v>29</v>
      </c>
      <c r="T37" s="10">
        <v>0.12690000000000001</v>
      </c>
      <c r="U37" s="10">
        <v>5.13E-4</v>
      </c>
      <c r="V37" s="2">
        <v>0.13730000000000001</v>
      </c>
      <c r="W37" s="2">
        <v>7.2833211944646754</v>
      </c>
      <c r="X37" s="11">
        <v>7.26</v>
      </c>
    </row>
    <row r="38" spans="2:24" x14ac:dyDescent="0.45">
      <c r="B38" s="15">
        <f t="shared" ref="B38:B39" si="2">ROUNDUP($S$57/W20,0)</f>
        <v>4</v>
      </c>
      <c r="C38" s="14" t="s">
        <v>103</v>
      </c>
      <c r="O38" s="2">
        <f t="shared" si="0"/>
        <v>1.7229880000000004</v>
      </c>
      <c r="P38" s="2">
        <f t="shared" si="1"/>
        <v>0.28554588844588868</v>
      </c>
      <c r="R38" s="2" t="s">
        <v>33</v>
      </c>
      <c r="S38" s="2" t="s">
        <v>34</v>
      </c>
      <c r="T38" s="10">
        <v>0.31640000000000001</v>
      </c>
      <c r="U38" s="10">
        <v>1.1999999999999999E-3</v>
      </c>
      <c r="V38" s="2">
        <v>0.34079999999999999</v>
      </c>
      <c r="W38" s="2">
        <v>2.9342723004694835</v>
      </c>
      <c r="X38" s="11">
        <v>2.92</v>
      </c>
    </row>
    <row r="39" spans="2:24" x14ac:dyDescent="0.45">
      <c r="B39" s="15">
        <f t="shared" si="2"/>
        <v>3</v>
      </c>
      <c r="C39" s="14" t="s">
        <v>102</v>
      </c>
      <c r="O39" s="2">
        <f t="shared" si="0"/>
        <v>1.7217764000000004</v>
      </c>
      <c r="P39" s="2">
        <f t="shared" si="1"/>
        <v>0.28651294691418472</v>
      </c>
      <c r="R39" s="2" t="s">
        <v>35</v>
      </c>
      <c r="S39" s="2" t="s">
        <v>36</v>
      </c>
      <c r="T39" s="10">
        <v>0.14130000000000001</v>
      </c>
      <c r="U39" s="10">
        <v>5.9999999999999995E-4</v>
      </c>
      <c r="V39" s="2">
        <v>0.15290000000000001</v>
      </c>
      <c r="W39" s="2">
        <v>6.5402223675604967</v>
      </c>
      <c r="X39" s="11">
        <v>6.52</v>
      </c>
    </row>
    <row r="40" spans="2:24" x14ac:dyDescent="0.45">
      <c r="C40" s="14"/>
      <c r="O40" s="2">
        <f t="shared" si="0"/>
        <v>1.7205648000000004</v>
      </c>
      <c r="P40" s="2">
        <f t="shared" si="1"/>
        <v>0.28748567457906504</v>
      </c>
      <c r="R40" s="2" t="s">
        <v>37</v>
      </c>
      <c r="S40" s="2" t="s">
        <v>38</v>
      </c>
      <c r="T40" s="10">
        <v>0.56850000000000001</v>
      </c>
      <c r="U40" s="10">
        <v>2.0799999999999998E-3</v>
      </c>
      <c r="V40" s="2">
        <v>0.60229999999999995</v>
      </c>
      <c r="W40" s="2">
        <v>1.6603021749958493</v>
      </c>
      <c r="X40" s="11">
        <v>1.66</v>
      </c>
    </row>
    <row r="41" spans="2:24" x14ac:dyDescent="0.45">
      <c r="C41" s="14"/>
      <c r="O41" s="2">
        <f t="shared" si="0"/>
        <v>1.7193532000000005</v>
      </c>
      <c r="P41" s="2">
        <f t="shared" si="1"/>
        <v>0.28846411825966201</v>
      </c>
      <c r="R41" s="2" t="s">
        <v>41</v>
      </c>
      <c r="S41" s="2" t="s">
        <v>42</v>
      </c>
      <c r="T41" s="10">
        <v>0.65798999999999996</v>
      </c>
      <c r="U41" s="10">
        <v>2.3900000000000002E-3</v>
      </c>
      <c r="V41" s="2">
        <v>0.70699999999999996</v>
      </c>
      <c r="W41" s="2">
        <v>1.4144271570014144</v>
      </c>
      <c r="X41" s="11">
        <v>1.41</v>
      </c>
    </row>
    <row r="42" spans="2:24" x14ac:dyDescent="0.45">
      <c r="O42" s="2">
        <f t="shared" si="0"/>
        <v>1.7181416000000005</v>
      </c>
      <c r="P42" s="2">
        <f t="shared" si="1"/>
        <v>0.28944832527345926</v>
      </c>
      <c r="R42" s="2" t="s">
        <v>43</v>
      </c>
      <c r="S42" s="2" t="s">
        <v>44</v>
      </c>
      <c r="T42" s="10">
        <v>0.65980000000000005</v>
      </c>
      <c r="U42" s="10">
        <v>2.4199999999999998E-3</v>
      </c>
      <c r="V42" s="2">
        <v>0.70809999999999995</v>
      </c>
      <c r="W42" s="2">
        <v>1.4122299110295158</v>
      </c>
      <c r="X42" s="11">
        <v>1.41</v>
      </c>
    </row>
    <row r="43" spans="2:24" x14ac:dyDescent="0.45">
      <c r="O43" s="2">
        <f t="shared" si="0"/>
        <v>1.7169300000000005</v>
      </c>
      <c r="P43" s="2">
        <f t="shared" si="1"/>
        <v>0.29043834344278657</v>
      </c>
      <c r="R43" s="2" t="s">
        <v>45</v>
      </c>
      <c r="S43" s="2" t="s">
        <v>46</v>
      </c>
      <c r="T43" s="10">
        <v>0.65980000000000005</v>
      </c>
      <c r="U43" s="10">
        <v>2.4199999999999998E-3</v>
      </c>
      <c r="V43" s="2">
        <v>0.70809999999999995</v>
      </c>
      <c r="W43" s="2">
        <v>1.4122299110295158</v>
      </c>
      <c r="X43" s="11">
        <v>1.41</v>
      </c>
    </row>
    <row r="44" spans="2:24" x14ac:dyDescent="0.45">
      <c r="O44" s="2">
        <f t="shared" si="0"/>
        <v>1.7157184000000005</v>
      </c>
      <c r="P44" s="2">
        <f t="shared" si="1"/>
        <v>0.29143422110141504</v>
      </c>
      <c r="R44" s="2" t="s">
        <v>47</v>
      </c>
      <c r="S44" s="2" t="s">
        <v>44</v>
      </c>
      <c r="T44" s="10">
        <v>0.65980000000000005</v>
      </c>
      <c r="U44" s="10">
        <v>2.4199999999999998E-3</v>
      </c>
      <c r="V44" s="2">
        <v>0.70809999999999995</v>
      </c>
      <c r="W44" s="2">
        <v>1.4122299110295158</v>
      </c>
      <c r="X44" s="11">
        <v>1.41</v>
      </c>
    </row>
    <row r="45" spans="2:24" x14ac:dyDescent="0.45">
      <c r="O45" s="2">
        <f t="shared" si="0"/>
        <v>1.7145068000000006</v>
      </c>
      <c r="P45" s="2">
        <f t="shared" si="1"/>
        <v>0.29243600710125478</v>
      </c>
      <c r="R45" s="2" t="s">
        <v>48</v>
      </c>
      <c r="S45" s="2" t="s">
        <v>48</v>
      </c>
      <c r="T45" s="10">
        <v>0.49747000000000002</v>
      </c>
      <c r="U45" s="10">
        <v>2.0300000000000001E-3</v>
      </c>
      <c r="V45" s="2">
        <v>0.54700000000000004</v>
      </c>
      <c r="W45" s="2">
        <v>1.8281535648994514</v>
      </c>
      <c r="X45" s="11">
        <v>1.8320000000000001</v>
      </c>
    </row>
    <row r="46" spans="2:24" x14ac:dyDescent="0.45">
      <c r="O46" s="2">
        <f t="shared" si="0"/>
        <v>1.7132952000000006</v>
      </c>
      <c r="P46" s="2">
        <f t="shared" si="1"/>
        <v>0.29344375081915608</v>
      </c>
      <c r="R46" s="2" t="s">
        <v>49</v>
      </c>
      <c r="S46" s="2" t="s">
        <v>50</v>
      </c>
      <c r="T46" s="10">
        <v>0.14871000000000001</v>
      </c>
      <c r="U46" s="10">
        <v>5.6999999999999998E-4</v>
      </c>
      <c r="V46" s="2">
        <v>0.16</v>
      </c>
      <c r="W46" s="2">
        <v>6.25</v>
      </c>
      <c r="X46" s="11">
        <v>6.2830000000000004</v>
      </c>
    </row>
    <row r="47" spans="2:24" x14ac:dyDescent="0.45">
      <c r="O47" s="2">
        <f t="shared" si="0"/>
        <v>1.7120836000000006</v>
      </c>
      <c r="P47" s="2">
        <f t="shared" si="1"/>
        <v>0.29445750216381611</v>
      </c>
      <c r="R47" s="2" t="s">
        <v>51</v>
      </c>
      <c r="S47" s="2" t="s">
        <v>52</v>
      </c>
      <c r="T47" s="10">
        <v>0.2172</v>
      </c>
      <c r="U47" s="10">
        <v>8.9999999999999998E-4</v>
      </c>
      <c r="V47" s="2">
        <v>0.23519999999999999</v>
      </c>
      <c r="W47" s="2">
        <v>4.2517006802721093</v>
      </c>
      <c r="X47" s="11">
        <v>3.85</v>
      </c>
    </row>
    <row r="48" spans="2:24" x14ac:dyDescent="0.45">
      <c r="O48" s="2">
        <f t="shared" si="0"/>
        <v>1.7108720000000006</v>
      </c>
      <c r="P48" s="2">
        <f t="shared" si="1"/>
        <v>0.29547731158279406</v>
      </c>
    </row>
    <row r="49" spans="15:20" x14ac:dyDescent="0.45">
      <c r="O49" s="2">
        <f t="shared" si="0"/>
        <v>1.7096604000000006</v>
      </c>
      <c r="P49" s="2">
        <f t="shared" si="1"/>
        <v>0.29650323006963447</v>
      </c>
    </row>
    <row r="50" spans="15:20" x14ac:dyDescent="0.45">
      <c r="O50" s="2">
        <f t="shared" si="0"/>
        <v>1.7084488000000007</v>
      </c>
      <c r="P50" s="2">
        <f t="shared" si="1"/>
        <v>0.29753530917110332</v>
      </c>
      <c r="R50" s="24" t="str">
        <f>B22</f>
        <v>Descending interface</v>
      </c>
      <c r="S50" s="24"/>
    </row>
    <row r="51" spans="15:20" x14ac:dyDescent="0.45">
      <c r="O51" s="2">
        <f t="shared" si="0"/>
        <v>1.7072372000000007</v>
      </c>
      <c r="P51" s="2">
        <f t="shared" si="1"/>
        <v>0.29857360099453689</v>
      </c>
      <c r="R51" s="2" t="s">
        <v>67</v>
      </c>
      <c r="S51" s="12">
        <f>S52/(1.202/2)^S56</f>
        <v>1.2480606639812108</v>
      </c>
    </row>
    <row r="52" spans="15:20" x14ac:dyDescent="0.45">
      <c r="O52" s="2">
        <f t="shared" si="0"/>
        <v>1.7060256000000007</v>
      </c>
      <c r="P52" s="2">
        <f t="shared" si="1"/>
        <v>0.29961815821530635</v>
      </c>
      <c r="R52" s="2" t="s">
        <v>64</v>
      </c>
      <c r="S52" s="12">
        <f>IF(B22="Descending interface",(S64/S65)*((S53*S65)^(1-S56)-(S53*IF(B21="ISO 14520",S60,S66))^(1-S56))/((1-S56)*B29*60*0.5*S53),(S64/(0.5*B29*60))*ABS(S54-S55)*AVERAGE(P18:P1017))</f>
        <v>0.94322793614745493</v>
      </c>
    </row>
    <row r="53" spans="15:20" x14ac:dyDescent="0.45">
      <c r="O53" s="2">
        <f t="shared" si="0"/>
        <v>1.7048140000000007</v>
      </c>
      <c r="P53" s="2">
        <f t="shared" si="1"/>
        <v>0.30066903408440049</v>
      </c>
      <c r="R53" s="2" t="s">
        <v>63</v>
      </c>
      <c r="S53" s="12">
        <f>2*9.81*ABS(S54-1.202)/(S54+1.202*(0.5/(1-0.5))^(1/S56))</f>
        <v>3.6271340896915123</v>
      </c>
    </row>
    <row r="54" spans="15:20" x14ac:dyDescent="0.45">
      <c r="O54" s="2">
        <f t="shared" si="0"/>
        <v>1.7036024000000007</v>
      </c>
      <c r="P54" s="2">
        <f t="shared" si="1"/>
        <v>0.30172628243612759</v>
      </c>
      <c r="R54" s="2" t="s">
        <v>65</v>
      </c>
      <c r="S54" s="12">
        <f>VLOOKUP(B23,R25:X47,7,FALSE)*B27/100+(1.202*(100-B27)/100)</f>
        <v>1.74722</v>
      </c>
    </row>
    <row r="55" spans="15:20" x14ac:dyDescent="0.45">
      <c r="O55" s="2">
        <f t="shared" si="0"/>
        <v>1.7023908000000008</v>
      </c>
      <c r="P55" s="2">
        <f t="shared" si="1"/>
        <v>0.30278995769593947</v>
      </c>
      <c r="R55" s="2" t="s">
        <v>73</v>
      </c>
      <c r="S55" s="12">
        <f>VLOOKUP(B23,R25:X47,7,FALSE)*B28/100+(1.202*(100-B28)/100)</f>
        <v>1.6260600000000001</v>
      </c>
    </row>
    <row r="56" spans="15:20" x14ac:dyDescent="0.45">
      <c r="O56" s="2">
        <f t="shared" si="0"/>
        <v>1.7011792000000008</v>
      </c>
      <c r="P56" s="2">
        <f t="shared" si="1"/>
        <v>0.30386011488838077</v>
      </c>
      <c r="R56" s="2" t="s">
        <v>66</v>
      </c>
      <c r="S56" s="2">
        <v>0.55000000000000004</v>
      </c>
    </row>
    <row r="57" spans="15:20" x14ac:dyDescent="0.45">
      <c r="O57" s="2">
        <f t="shared" si="0"/>
        <v>1.6999676000000008</v>
      </c>
      <c r="P57" s="2">
        <f t="shared" si="1"/>
        <v>0.30493680964516284</v>
      </c>
      <c r="R57" s="2" t="s">
        <v>75</v>
      </c>
      <c r="S57" s="12">
        <f>S51*IF(B21="NFPA 2001 (2004)",MAX(10,S59),50)^S56*2118.88</f>
        <v>22739.219794542336</v>
      </c>
      <c r="T57" s="12" t="s">
        <v>0</v>
      </c>
    </row>
    <row r="58" spans="15:20" x14ac:dyDescent="0.45">
      <c r="O58" s="2">
        <f t="shared" si="0"/>
        <v>1.6987560000000008</v>
      </c>
      <c r="P58" s="2">
        <f t="shared" si="1"/>
        <v>0.30602009821336862</v>
      </c>
    </row>
    <row r="59" spans="15:20" x14ac:dyDescent="0.45">
      <c r="O59" s="2">
        <f t="shared" si="0"/>
        <v>1.6975444000000008</v>
      </c>
      <c r="P59" s="2">
        <f t="shared" si="1"/>
        <v>0.30711003746378679</v>
      </c>
      <c r="R59" s="2" t="s">
        <v>77</v>
      </c>
      <c r="S59" s="12">
        <f>9.81*S65*ABS(S54-1.202)</f>
        <v>48.907673380800006</v>
      </c>
    </row>
    <row r="60" spans="15:20" x14ac:dyDescent="0.45">
      <c r="O60" s="2">
        <f t="shared" si="0"/>
        <v>1.6963328000000009</v>
      </c>
      <c r="P60" s="2">
        <f t="shared" si="1"/>
        <v>0.30820668489938169</v>
      </c>
      <c r="R60" s="2" t="s">
        <v>79</v>
      </c>
      <c r="S60" s="12">
        <f>S65-(S65-S66)*B27/(2*B28)</f>
        <v>7.1845714285714291</v>
      </c>
    </row>
    <row r="61" spans="15:20" x14ac:dyDescent="0.45">
      <c r="O61" s="2">
        <f t="shared" si="0"/>
        <v>1.6951212000000009</v>
      </c>
      <c r="P61" s="2">
        <f t="shared" si="1"/>
        <v>0.30931009866389697</v>
      </c>
    </row>
    <row r="62" spans="15:20" x14ac:dyDescent="0.45">
      <c r="O62" s="2">
        <f t="shared" si="0"/>
        <v>1.6939096000000009</v>
      </c>
      <c r="P62" s="2">
        <f t="shared" si="1"/>
        <v>0.31042033755060033</v>
      </c>
    </row>
    <row r="63" spans="15:20" x14ac:dyDescent="0.45">
      <c r="O63" s="2">
        <f t="shared" si="0"/>
        <v>1.6926980000000009</v>
      </c>
      <c r="P63" s="2">
        <f t="shared" si="1"/>
        <v>0.31153746101116764</v>
      </c>
      <c r="R63" s="2" t="s">
        <v>83</v>
      </c>
    </row>
    <row r="64" spans="15:20" x14ac:dyDescent="0.45">
      <c r="O64" s="2">
        <f t="shared" si="0"/>
        <v>1.6914864000000009</v>
      </c>
      <c r="P64" s="2">
        <f t="shared" si="1"/>
        <v>0.31266152916471207</v>
      </c>
      <c r="R64" s="7" t="s">
        <v>86</v>
      </c>
      <c r="S64" s="12">
        <f>B24*0.02831685</f>
        <v>8495.0550000000003</v>
      </c>
      <c r="T64" s="2" t="s">
        <v>61</v>
      </c>
    </row>
    <row r="65" spans="15:20" x14ac:dyDescent="0.45">
      <c r="O65" s="2">
        <f t="shared" si="0"/>
        <v>1.690274800000001</v>
      </c>
      <c r="P65" s="2">
        <f t="shared" si="1"/>
        <v>0.31379260280695914</v>
      </c>
      <c r="R65" s="7" t="s">
        <v>84</v>
      </c>
      <c r="S65" s="2">
        <f>B25*0.3048</f>
        <v>9.1440000000000001</v>
      </c>
      <c r="T65" s="2" t="s">
        <v>62</v>
      </c>
    </row>
    <row r="66" spans="15:20" x14ac:dyDescent="0.45">
      <c r="O66" s="2">
        <f t="shared" si="0"/>
        <v>1.689063200000001</v>
      </c>
      <c r="P66" s="2">
        <f t="shared" si="1"/>
        <v>0.31493074341957189</v>
      </c>
      <c r="R66" s="7" t="s">
        <v>85</v>
      </c>
      <c r="S66" s="2">
        <f>B26*0.3048</f>
        <v>6.0960000000000001</v>
      </c>
      <c r="T66" s="2" t="s">
        <v>62</v>
      </c>
    </row>
    <row r="67" spans="15:20" x14ac:dyDescent="0.45">
      <c r="O67" s="2">
        <f t="shared" si="0"/>
        <v>1.687851600000001</v>
      </c>
      <c r="P67" s="2">
        <f t="shared" si="1"/>
        <v>0.31607601317962747</v>
      </c>
    </row>
    <row r="68" spans="15:20" x14ac:dyDescent="0.45">
      <c r="O68" s="2">
        <f t="shared" si="0"/>
        <v>1.686640000000001</v>
      </c>
      <c r="P68" s="2">
        <f t="shared" si="1"/>
        <v>0.3172284749692485</v>
      </c>
    </row>
    <row r="69" spans="15:20" x14ac:dyDescent="0.45">
      <c r="O69" s="2">
        <f t="shared" si="0"/>
        <v>1.685428400000001</v>
      </c>
      <c r="P69" s="2">
        <f t="shared" si="1"/>
        <v>0.31838819238539429</v>
      </c>
    </row>
    <row r="70" spans="15:20" x14ac:dyDescent="0.45">
      <c r="O70" s="2">
        <f t="shared" si="0"/>
        <v>1.6842168000000011</v>
      </c>
      <c r="P70" s="2">
        <f t="shared" si="1"/>
        <v>0.31955522974980999</v>
      </c>
    </row>
    <row r="71" spans="15:20" x14ac:dyDescent="0.45">
      <c r="O71" s="2">
        <f t="shared" si="0"/>
        <v>1.6830052000000011</v>
      </c>
      <c r="P71" s="2">
        <f t="shared" si="1"/>
        <v>0.32072965211914262</v>
      </c>
    </row>
    <row r="72" spans="15:20" x14ac:dyDescent="0.45">
      <c r="O72" s="2">
        <f t="shared" si="0"/>
        <v>1.6817936000000011</v>
      </c>
      <c r="P72" s="2">
        <f t="shared" si="1"/>
        <v>0.32191152529522232</v>
      </c>
    </row>
    <row r="73" spans="15:20" x14ac:dyDescent="0.45">
      <c r="O73" s="2">
        <f t="shared" si="0"/>
        <v>1.6805820000000011</v>
      </c>
      <c r="P73" s="2">
        <f t="shared" si="1"/>
        <v>0.3231009158355152</v>
      </c>
    </row>
    <row r="74" spans="15:20" x14ac:dyDescent="0.45">
      <c r="O74" s="2">
        <f t="shared" si="0"/>
        <v>1.6793704000000012</v>
      </c>
      <c r="P74" s="2">
        <f t="shared" si="1"/>
        <v>0.32429789106374846</v>
      </c>
    </row>
    <row r="75" spans="15:20" x14ac:dyDescent="0.45">
      <c r="O75" s="2">
        <f t="shared" si="0"/>
        <v>1.6781588000000012</v>
      </c>
      <c r="P75" s="2">
        <f t="shared" si="1"/>
        <v>0.32550251908071409</v>
      </c>
    </row>
    <row r="76" spans="15:20" x14ac:dyDescent="0.45">
      <c r="O76" s="2">
        <f t="shared" si="0"/>
        <v>1.6769472000000012</v>
      </c>
      <c r="P76" s="2">
        <f t="shared" si="1"/>
        <v>0.32671486877525091</v>
      </c>
    </row>
    <row r="77" spans="15:20" x14ac:dyDescent="0.45">
      <c r="O77" s="2">
        <f t="shared" si="0"/>
        <v>1.6757356000000012</v>
      </c>
      <c r="P77" s="2">
        <f t="shared" si="1"/>
        <v>0.32793500983541263</v>
      </c>
    </row>
    <row r="78" spans="15:20" x14ac:dyDescent="0.45">
      <c r="O78" s="2">
        <f t="shared" si="0"/>
        <v>1.6745240000000012</v>
      </c>
      <c r="P78" s="2">
        <f t="shared" si="1"/>
        <v>0.32916301275982129</v>
      </c>
    </row>
    <row r="79" spans="15:20" x14ac:dyDescent="0.45">
      <c r="O79" s="2">
        <f t="shared" si="0"/>
        <v>1.6733124000000013</v>
      </c>
      <c r="P79" s="2">
        <f t="shared" si="1"/>
        <v>0.330398948869213</v>
      </c>
    </row>
    <row r="80" spans="15:20" x14ac:dyDescent="0.45">
      <c r="O80" s="2">
        <f t="shared" si="0"/>
        <v>1.6721008000000013</v>
      </c>
      <c r="P80" s="2">
        <f t="shared" si="1"/>
        <v>0.33164289031817762</v>
      </c>
    </row>
    <row r="81" spans="15:16" x14ac:dyDescent="0.45">
      <c r="O81" s="2">
        <f t="shared" si="0"/>
        <v>1.6708892000000013</v>
      </c>
      <c r="P81" s="2">
        <f t="shared" si="1"/>
        <v>0.33289491010709799</v>
      </c>
    </row>
    <row r="82" spans="15:16" x14ac:dyDescent="0.45">
      <c r="O82" s="2">
        <f t="shared" si="0"/>
        <v>1.6696776000000013</v>
      </c>
      <c r="P82" s="2">
        <f t="shared" si="1"/>
        <v>0.33415508209428979</v>
      </c>
    </row>
    <row r="83" spans="15:16" x14ac:dyDescent="0.45">
      <c r="O83" s="2">
        <f t="shared" ref="O83:O118" si="3">O82-$N$17</f>
        <v>1.6684660000000013</v>
      </c>
      <c r="P83" s="2">
        <f t="shared" ref="P83:P118" si="4">((2*9.81*$S$65*ABS(O83-1.202)^(($S$56+1)/$S$56)+2*0*ABS(O83-1.202)^(1/$S$56))/(O83+1.202*(0.5/(1-0.5))^(1/$S$56)))^(-1*$S$56)</f>
        <v>0.33542348100834984</v>
      </c>
    </row>
    <row r="84" spans="15:16" x14ac:dyDescent="0.45">
      <c r="O84" s="2">
        <f t="shared" si="3"/>
        <v>1.6672544000000014</v>
      </c>
      <c r="P84" s="2">
        <f t="shared" si="4"/>
        <v>0.33670018246071304</v>
      </c>
    </row>
    <row r="85" spans="15:16" x14ac:dyDescent="0.45">
      <c r="O85" s="2">
        <f t="shared" si="3"/>
        <v>1.6660428000000014</v>
      </c>
      <c r="P85" s="2">
        <f t="shared" si="4"/>
        <v>0.3379852629584254</v>
      </c>
    </row>
    <row r="86" spans="15:16" x14ac:dyDescent="0.45">
      <c r="O86" s="2">
        <f t="shared" si="3"/>
        <v>1.6648312000000014</v>
      </c>
      <c r="P86" s="2">
        <f t="shared" si="4"/>
        <v>0.33927879991713422</v>
      </c>
    </row>
    <row r="87" spans="15:16" x14ac:dyDescent="0.45">
      <c r="O87" s="2">
        <f t="shared" si="3"/>
        <v>1.6636196000000014</v>
      </c>
      <c r="P87" s="2">
        <f t="shared" si="4"/>
        <v>0.34058087167430307</v>
      </c>
    </row>
    <row r="88" spans="15:16" x14ac:dyDescent="0.45">
      <c r="O88" s="2">
        <f t="shared" si="3"/>
        <v>1.6624080000000014</v>
      </c>
      <c r="P88" s="2">
        <f t="shared" si="4"/>
        <v>0.34189155750265315</v>
      </c>
    </row>
    <row r="89" spans="15:16" x14ac:dyDescent="0.45">
      <c r="O89" s="2">
        <f t="shared" si="3"/>
        <v>1.6611964000000015</v>
      </c>
      <c r="P89" s="2">
        <f t="shared" si="4"/>
        <v>0.34321093762383714</v>
      </c>
    </row>
    <row r="90" spans="15:16" x14ac:dyDescent="0.45">
      <c r="O90" s="2">
        <f t="shared" si="3"/>
        <v>1.6599848000000015</v>
      </c>
      <c r="P90" s="2">
        <f t="shared" si="4"/>
        <v>0.34453909322235043</v>
      </c>
    </row>
    <row r="91" spans="15:16" x14ac:dyDescent="0.45">
      <c r="O91" s="2">
        <f t="shared" si="3"/>
        <v>1.6587732000000015</v>
      </c>
      <c r="P91" s="2">
        <f t="shared" si="4"/>
        <v>0.34587610645968186</v>
      </c>
    </row>
    <row r="92" spans="15:16" x14ac:dyDescent="0.45">
      <c r="O92" s="2">
        <f t="shared" si="3"/>
        <v>1.6575616000000015</v>
      </c>
      <c r="P92" s="2">
        <f t="shared" si="4"/>
        <v>0.34722206048871362</v>
      </c>
    </row>
    <row r="93" spans="15:16" x14ac:dyDescent="0.45">
      <c r="O93" s="2">
        <f t="shared" si="3"/>
        <v>1.6563500000000015</v>
      </c>
      <c r="P93" s="2">
        <f t="shared" si="4"/>
        <v>0.34857703946836993</v>
      </c>
    </row>
    <row r="94" spans="15:16" x14ac:dyDescent="0.45">
      <c r="O94" s="2">
        <f t="shared" si="3"/>
        <v>1.6551384000000016</v>
      </c>
      <c r="P94" s="2">
        <f t="shared" si="4"/>
        <v>0.3499411285785235</v>
      </c>
    </row>
    <row r="95" spans="15:16" x14ac:dyDescent="0.45">
      <c r="O95" s="2">
        <f t="shared" si="3"/>
        <v>1.6539268000000016</v>
      </c>
      <c r="P95" s="2">
        <f t="shared" si="4"/>
        <v>0.35131441403516289</v>
      </c>
    </row>
    <row r="96" spans="15:16" x14ac:dyDescent="0.45">
      <c r="O96" s="2">
        <f t="shared" si="3"/>
        <v>1.6527152000000016</v>
      </c>
      <c r="P96" s="2">
        <f t="shared" si="4"/>
        <v>0.35269698310582676</v>
      </c>
    </row>
    <row r="97" spans="15:16" x14ac:dyDescent="0.45">
      <c r="O97" s="2">
        <f t="shared" si="3"/>
        <v>1.6515036000000016</v>
      </c>
      <c r="P97" s="2">
        <f t="shared" si="4"/>
        <v>0.35408892412531073</v>
      </c>
    </row>
    <row r="98" spans="15:16" x14ac:dyDescent="0.45">
      <c r="O98" s="2">
        <f t="shared" si="3"/>
        <v>1.6502920000000016</v>
      </c>
      <c r="P98" s="2">
        <f t="shared" si="4"/>
        <v>0.35549032651165202</v>
      </c>
    </row>
    <row r="99" spans="15:16" x14ac:dyDescent="0.45">
      <c r="O99" s="2">
        <f t="shared" si="3"/>
        <v>1.6490804000000017</v>
      </c>
      <c r="P99" s="2">
        <f t="shared" si="4"/>
        <v>0.35690128078239686</v>
      </c>
    </row>
    <row r="100" spans="15:16" x14ac:dyDescent="0.45">
      <c r="O100" s="2">
        <f t="shared" si="3"/>
        <v>1.6478688000000017</v>
      </c>
      <c r="P100" s="2">
        <f t="shared" si="4"/>
        <v>0.3583218785711581</v>
      </c>
    </row>
    <row r="101" spans="15:16" x14ac:dyDescent="0.45">
      <c r="O101" s="2">
        <f t="shared" si="3"/>
        <v>1.6466572000000017</v>
      </c>
      <c r="P101" s="2">
        <f t="shared" si="4"/>
        <v>0.35975221264446788</v>
      </c>
    </row>
    <row r="102" spans="15:16" x14ac:dyDescent="0.45">
      <c r="O102" s="2">
        <f t="shared" si="3"/>
        <v>1.6454456000000017</v>
      </c>
      <c r="P102" s="2">
        <f t="shared" si="4"/>
        <v>0.36119237691893119</v>
      </c>
    </row>
    <row r="103" spans="15:16" x14ac:dyDescent="0.45">
      <c r="O103" s="2">
        <f t="shared" si="3"/>
        <v>1.6442340000000017</v>
      </c>
      <c r="P103" s="2">
        <f t="shared" si="4"/>
        <v>0.36264246647868736</v>
      </c>
    </row>
    <row r="104" spans="15:16" x14ac:dyDescent="0.45">
      <c r="O104" s="2">
        <f t="shared" si="3"/>
        <v>1.6430224000000018</v>
      </c>
      <c r="P104" s="2">
        <f t="shared" si="4"/>
        <v>0.36410257759318598</v>
      </c>
    </row>
    <row r="105" spans="15:16" x14ac:dyDescent="0.45">
      <c r="O105" s="2">
        <f t="shared" si="3"/>
        <v>1.6418108000000018</v>
      </c>
      <c r="P105" s="2">
        <f t="shared" si="4"/>
        <v>0.36557280773528195</v>
      </c>
    </row>
    <row r="106" spans="15:16" x14ac:dyDescent="0.45">
      <c r="O106" s="2">
        <f t="shared" si="3"/>
        <v>1.6405992000000018</v>
      </c>
      <c r="P106" s="2">
        <f t="shared" si="4"/>
        <v>0.36705325559965951</v>
      </c>
    </row>
    <row r="107" spans="15:16" x14ac:dyDescent="0.45">
      <c r="O107" s="2">
        <f t="shared" si="3"/>
        <v>1.6393876000000018</v>
      </c>
      <c r="P107" s="2">
        <f t="shared" si="4"/>
        <v>0.36854402112158874</v>
      </c>
    </row>
    <row r="108" spans="15:16" x14ac:dyDescent="0.45">
      <c r="O108" s="2">
        <f t="shared" si="3"/>
        <v>1.6381760000000019</v>
      </c>
      <c r="P108" s="2">
        <f t="shared" si="4"/>
        <v>0.37004520549602349</v>
      </c>
    </row>
    <row r="109" spans="15:16" x14ac:dyDescent="0.45">
      <c r="O109" s="2">
        <f t="shared" si="3"/>
        <v>1.6369644000000019</v>
      </c>
      <c r="P109" s="2">
        <f t="shared" si="4"/>
        <v>0.37155691119704853</v>
      </c>
    </row>
    <row r="110" spans="15:16" x14ac:dyDescent="0.45">
      <c r="O110" s="2">
        <f t="shared" si="3"/>
        <v>1.6357528000000019</v>
      </c>
      <c r="P110" s="2">
        <f t="shared" si="4"/>
        <v>0.37307924199768028</v>
      </c>
    </row>
    <row r="111" spans="15:16" x14ac:dyDescent="0.45">
      <c r="O111" s="2">
        <f t="shared" si="3"/>
        <v>1.6345412000000019</v>
      </c>
      <c r="P111" s="2">
        <f t="shared" si="4"/>
        <v>0.3746123029900324</v>
      </c>
    </row>
    <row r="112" spans="15:16" x14ac:dyDescent="0.45">
      <c r="O112" s="2">
        <f t="shared" si="3"/>
        <v>1.6333296000000019</v>
      </c>
      <c r="P112" s="2">
        <f t="shared" si="4"/>
        <v>0.37615620060585109</v>
      </c>
    </row>
    <row r="113" spans="15:16" x14ac:dyDescent="0.45">
      <c r="O113" s="2">
        <f t="shared" si="3"/>
        <v>1.632118000000002</v>
      </c>
      <c r="P113" s="2">
        <f t="shared" si="4"/>
        <v>0.37771104263742922</v>
      </c>
    </row>
    <row r="114" spans="15:16" x14ac:dyDescent="0.45">
      <c r="O114" s="2">
        <f t="shared" si="3"/>
        <v>1.630906400000002</v>
      </c>
      <c r="P114" s="2">
        <f t="shared" si="4"/>
        <v>0.37927693825890735</v>
      </c>
    </row>
    <row r="115" spans="15:16" x14ac:dyDescent="0.45">
      <c r="O115" s="2">
        <f t="shared" si="3"/>
        <v>1.629694800000002</v>
      </c>
      <c r="P115" s="2">
        <f t="shared" si="4"/>
        <v>0.38085399804796949</v>
      </c>
    </row>
    <row r="116" spans="15:16" x14ac:dyDescent="0.45">
      <c r="O116" s="2">
        <f t="shared" si="3"/>
        <v>1.628483200000002</v>
      </c>
      <c r="P116" s="2">
        <f t="shared" si="4"/>
        <v>0.38244233400794259</v>
      </c>
    </row>
    <row r="117" spans="15:16" x14ac:dyDescent="0.45">
      <c r="O117" s="2">
        <f t="shared" si="3"/>
        <v>1.627271600000002</v>
      </c>
      <c r="P117" s="2">
        <f t="shared" si="4"/>
        <v>0.38404205959030702</v>
      </c>
    </row>
    <row r="118" spans="15:16" x14ac:dyDescent="0.45">
      <c r="O118" s="2">
        <f t="shared" si="3"/>
        <v>1.6260600000000021</v>
      </c>
      <c r="P118" s="2">
        <f t="shared" si="4"/>
        <v>0.38565328971762997</v>
      </c>
    </row>
  </sheetData>
  <sheetProtection algorithmName="SHA-512" hashValue="3uSMNN0nnWWowUaowXdx0BJjoY4UkA4QNUWsfYlUtFK73S+4utXq+c2bKy5oROfG2BwAUFYCEyuC2rXgViWvsw==" saltValue="lqgVDG1p50OaTnXkB6hr/w==" spinCount="100000" sheet="1" selectLockedCells="1"/>
  <mergeCells count="6">
    <mergeCell ref="G15:H15"/>
    <mergeCell ref="A17:F19"/>
    <mergeCell ref="B21:D21"/>
    <mergeCell ref="B22:D22"/>
    <mergeCell ref="R50:S50"/>
    <mergeCell ref="B23:C23"/>
  </mergeCells>
  <conditionalFormatting sqref="A26:C26">
    <cfRule type="expression" dxfId="3" priority="2">
      <formula>$B$22="Continual mixing"</formula>
    </cfRule>
  </conditionalFormatting>
  <conditionalFormatting sqref="A28:C28">
    <cfRule type="expression" dxfId="2" priority="1">
      <formula>AND($B$22="Descending interface",OR($B$21="NFPA 2001 (2004)",$B$21="NFPA 2001 (2012)"))</formula>
    </cfRule>
  </conditionalFormatting>
  <dataValidations count="3">
    <dataValidation type="list" allowBlank="1" showInputMessage="1" showErrorMessage="1" sqref="B23">
      <formula1>$R$25:$R$47</formula1>
    </dataValidation>
    <dataValidation type="list" allowBlank="1" showInputMessage="1" showErrorMessage="1" sqref="B21">
      <formula1>"NFPA 2001 (2004),NFPA 2001 (2012),ISO 14520"</formula1>
    </dataValidation>
    <dataValidation type="list" allowBlank="1" showInputMessage="1" showErrorMessage="1" sqref="B22">
      <formula1>"Descending interface,Continual mixing"</formula1>
    </dataValidation>
  </dataValidation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118"/>
  <sheetViews>
    <sheetView zoomScale="70" zoomScaleNormal="70" workbookViewId="0">
      <selection activeCell="B21" sqref="B21:D21"/>
    </sheetView>
  </sheetViews>
  <sheetFormatPr defaultColWidth="9.1796875" defaultRowHeight="16.5" x14ac:dyDescent="0.45"/>
  <cols>
    <col min="1" max="1" width="25.26953125" style="2" bestFit="1" customWidth="1"/>
    <col min="2" max="2" width="11.453125" style="2" customWidth="1"/>
    <col min="3" max="3" width="4.453125" style="2" customWidth="1"/>
    <col min="4" max="4" width="6.7265625" style="2" customWidth="1"/>
    <col min="5" max="5" width="9.1796875" style="2"/>
    <col min="6" max="6" width="12.26953125" style="2" bestFit="1" customWidth="1"/>
    <col min="7" max="7" width="8.54296875" style="2" bestFit="1" customWidth="1"/>
    <col min="8" max="13" width="9.1796875" style="2"/>
    <col min="14" max="17" width="9.1796875" style="2" hidden="1" customWidth="1"/>
    <col min="18" max="18" width="13.54296875" style="2" hidden="1" customWidth="1"/>
    <col min="19" max="19" width="12.81640625" style="2" hidden="1" customWidth="1"/>
    <col min="20" max="24" width="9.1796875" style="2" hidden="1" customWidth="1"/>
    <col min="25" max="16384" width="9.1796875" style="2"/>
  </cols>
  <sheetData>
    <row r="1" spans="1:23" x14ac:dyDescent="0.45">
      <c r="F1" s="2" t="s">
        <v>92</v>
      </c>
    </row>
    <row r="3" spans="1:23" x14ac:dyDescent="0.45">
      <c r="F3" s="2" t="s">
        <v>93</v>
      </c>
    </row>
    <row r="5" spans="1:23" x14ac:dyDescent="0.45">
      <c r="A5" s="3"/>
      <c r="B5" s="3"/>
      <c r="C5" s="3"/>
      <c r="D5" s="3"/>
      <c r="E5" s="3"/>
      <c r="F5" s="3"/>
      <c r="G5" s="3"/>
      <c r="H5" s="3"/>
      <c r="I5" s="3"/>
      <c r="J5" s="3"/>
      <c r="K5" s="3"/>
      <c r="L5" s="3"/>
      <c r="M5" s="3"/>
    </row>
    <row r="6" spans="1:23" x14ac:dyDescent="0.45">
      <c r="A6" s="4"/>
      <c r="B6" s="3"/>
      <c r="C6" s="3"/>
      <c r="D6" s="3"/>
      <c r="E6" s="3"/>
      <c r="F6" s="3"/>
      <c r="G6" s="3"/>
      <c r="H6" s="3"/>
      <c r="I6" s="3"/>
      <c r="J6" s="3"/>
      <c r="K6" s="3"/>
      <c r="L6" s="3"/>
      <c r="M6" s="3"/>
    </row>
    <row r="7" spans="1:23" x14ac:dyDescent="0.45">
      <c r="A7" s="3"/>
      <c r="B7" s="3"/>
      <c r="C7" s="3"/>
      <c r="D7" s="3"/>
      <c r="E7" s="3"/>
      <c r="F7" s="3"/>
      <c r="G7" s="3"/>
      <c r="H7" s="3"/>
      <c r="I7" s="3"/>
      <c r="J7" s="3"/>
      <c r="K7" s="3"/>
      <c r="L7" s="3"/>
      <c r="M7" s="3"/>
    </row>
    <row r="8" spans="1:23" x14ac:dyDescent="0.45">
      <c r="A8" s="3"/>
      <c r="B8" s="3"/>
      <c r="C8" s="3"/>
      <c r="D8" s="3"/>
      <c r="E8" s="3"/>
      <c r="F8" s="3"/>
      <c r="G8" s="3"/>
      <c r="H8" s="3"/>
      <c r="I8" s="3"/>
      <c r="J8" s="3"/>
      <c r="K8" s="3"/>
      <c r="L8" s="3"/>
      <c r="M8" s="3"/>
    </row>
    <row r="9" spans="1:23" x14ac:dyDescent="0.45">
      <c r="A9" s="3"/>
      <c r="B9" s="3"/>
      <c r="C9" s="3"/>
      <c r="D9" s="3"/>
      <c r="E9" s="3"/>
      <c r="F9" s="3"/>
      <c r="G9" s="3"/>
      <c r="H9" s="3"/>
      <c r="I9" s="3"/>
      <c r="J9" s="3"/>
      <c r="K9" s="3"/>
      <c r="L9" s="3"/>
      <c r="M9" s="3"/>
    </row>
    <row r="10" spans="1:23" x14ac:dyDescent="0.45">
      <c r="A10" s="3"/>
      <c r="B10" s="3"/>
      <c r="C10" s="3"/>
      <c r="D10" s="3"/>
      <c r="E10" s="3"/>
      <c r="F10" s="3"/>
      <c r="G10" s="3"/>
      <c r="H10" s="3"/>
      <c r="I10" s="3"/>
      <c r="J10" s="3"/>
      <c r="K10" s="3"/>
      <c r="L10" s="3"/>
      <c r="M10" s="3"/>
    </row>
    <row r="11" spans="1:23" x14ac:dyDescent="0.45">
      <c r="A11" s="3"/>
      <c r="B11" s="3"/>
      <c r="C11" s="3"/>
      <c r="D11" s="3"/>
      <c r="E11" s="3"/>
      <c r="F11" s="3"/>
      <c r="G11" s="3"/>
      <c r="H11" s="3"/>
      <c r="I11" s="3"/>
      <c r="J11" s="3"/>
      <c r="K11" s="3"/>
      <c r="L11" s="3"/>
      <c r="M11" s="3"/>
    </row>
    <row r="12" spans="1:23" x14ac:dyDescent="0.45">
      <c r="A12" s="3"/>
      <c r="B12" s="3"/>
      <c r="C12" s="3"/>
      <c r="D12" s="3"/>
      <c r="E12" s="3"/>
      <c r="F12" s="3"/>
      <c r="G12" s="3"/>
      <c r="H12" s="3"/>
      <c r="I12" s="3"/>
      <c r="J12" s="3"/>
      <c r="K12" s="3"/>
      <c r="L12" s="3"/>
      <c r="M12" s="3"/>
    </row>
    <row r="13" spans="1:23" x14ac:dyDescent="0.45">
      <c r="A13" s="3"/>
      <c r="B13" s="3"/>
      <c r="C13" s="3"/>
      <c r="D13" s="3"/>
      <c r="E13" s="3"/>
      <c r="F13" s="3"/>
      <c r="G13" s="3"/>
      <c r="H13" s="3"/>
      <c r="I13" s="3"/>
      <c r="J13" s="3"/>
      <c r="K13" s="3"/>
      <c r="L13" s="3"/>
      <c r="M13" s="3"/>
    </row>
    <row r="14" spans="1:23" x14ac:dyDescent="0.45">
      <c r="A14" s="3"/>
      <c r="B14" s="3"/>
      <c r="C14" s="3"/>
      <c r="D14" s="3"/>
      <c r="E14" s="3"/>
      <c r="F14" s="3"/>
      <c r="G14" s="3"/>
      <c r="H14" s="3"/>
      <c r="I14" s="3"/>
      <c r="J14" s="3"/>
      <c r="K14" s="3"/>
      <c r="L14" s="3"/>
      <c r="M14" s="3"/>
    </row>
    <row r="15" spans="1:23" x14ac:dyDescent="0.45">
      <c r="A15" s="3"/>
      <c r="B15" s="3"/>
      <c r="C15" s="3"/>
      <c r="D15" s="3"/>
      <c r="E15" s="3"/>
      <c r="F15" s="3"/>
      <c r="G15" s="18"/>
      <c r="H15" s="19"/>
      <c r="I15" s="3"/>
      <c r="J15" s="3"/>
      <c r="K15" s="3"/>
      <c r="L15" s="3"/>
      <c r="M15" s="3"/>
    </row>
    <row r="16" spans="1:23" x14ac:dyDescent="0.45">
      <c r="A16" s="5" t="s">
        <v>80</v>
      </c>
      <c r="N16" s="2" t="s">
        <v>74</v>
      </c>
      <c r="O16" s="2" t="s">
        <v>69</v>
      </c>
      <c r="P16" s="2" t="s">
        <v>70</v>
      </c>
      <c r="V16" s="2" t="s">
        <v>1</v>
      </c>
      <c r="W16" s="2" t="s">
        <v>2</v>
      </c>
    </row>
    <row r="17" spans="1:24" ht="15" customHeight="1" x14ac:dyDescent="0.45">
      <c r="A17" s="20" t="s">
        <v>100</v>
      </c>
      <c r="B17" s="21"/>
      <c r="C17" s="21"/>
      <c r="D17" s="22"/>
      <c r="E17" s="22"/>
      <c r="F17" s="22"/>
      <c r="N17" s="6">
        <f>(S54-S55)/100</f>
        <v>9.6927999999999901E-4</v>
      </c>
      <c r="O17" s="6" t="s">
        <v>71</v>
      </c>
      <c r="P17" s="6" t="s">
        <v>72</v>
      </c>
      <c r="V17" s="2">
        <v>1000</v>
      </c>
      <c r="W17" s="2">
        <v>5600</v>
      </c>
      <c r="X17" s="2" t="s">
        <v>0</v>
      </c>
    </row>
    <row r="18" spans="1:24" x14ac:dyDescent="0.45">
      <c r="A18" s="20"/>
      <c r="B18" s="21"/>
      <c r="C18" s="21"/>
      <c r="D18" s="22"/>
      <c r="E18" s="22"/>
      <c r="F18" s="22"/>
      <c r="O18" s="2">
        <f>$S$54</f>
        <v>1.6745239999999999</v>
      </c>
      <c r="P18" s="2">
        <f t="shared" ref="P18:P49" si="0">((2*9.81*$B$25*ABS(O18-1.202)^(($S$56+1)/$S$56)+2*0*ABS(O18-1.202)^(1/$S$56))/(O18+1.202*(0.5/(1-0.5))^(1/$S$56)))^(-1*$S$56)</f>
        <v>0.45877785427958528</v>
      </c>
      <c r="V18" s="2">
        <v>2000</v>
      </c>
      <c r="W18" s="2">
        <v>5600</v>
      </c>
      <c r="X18" s="2" t="s">
        <v>0</v>
      </c>
    </row>
    <row r="19" spans="1:24" x14ac:dyDescent="0.45">
      <c r="A19" s="20"/>
      <c r="B19" s="21"/>
      <c r="C19" s="21"/>
      <c r="D19" s="22"/>
      <c r="E19" s="22"/>
      <c r="F19" s="22"/>
      <c r="O19" s="2">
        <f t="shared" ref="O19:O50" si="1">O18-$N$17</f>
        <v>1.6735547199999998</v>
      </c>
      <c r="P19" s="2">
        <f t="shared" si="0"/>
        <v>0.46015505440993804</v>
      </c>
      <c r="V19" s="2">
        <v>3000</v>
      </c>
      <c r="W19" s="2">
        <v>7100</v>
      </c>
      <c r="X19" s="2" t="s">
        <v>0</v>
      </c>
    </row>
    <row r="20" spans="1:24" x14ac:dyDescent="0.45">
      <c r="O20" s="2">
        <f t="shared" si="1"/>
        <v>1.6725854399999998</v>
      </c>
      <c r="P20" s="2">
        <f t="shared" si="0"/>
        <v>0.46153938245551529</v>
      </c>
      <c r="V20" s="7">
        <v>5000</v>
      </c>
      <c r="W20" s="2">
        <v>5700</v>
      </c>
      <c r="X20" s="2" t="s">
        <v>0</v>
      </c>
    </row>
    <row r="21" spans="1:24" x14ac:dyDescent="0.45">
      <c r="A21" s="7" t="s">
        <v>78</v>
      </c>
      <c r="B21" s="23" t="s">
        <v>91</v>
      </c>
      <c r="C21" s="23"/>
      <c r="D21" s="23"/>
      <c r="O21" s="2">
        <f t="shared" si="1"/>
        <v>1.6716161599999997</v>
      </c>
      <c r="P21" s="2">
        <f t="shared" si="0"/>
        <v>0.46293089032781315</v>
      </c>
      <c r="V21" s="2">
        <v>6000</v>
      </c>
      <c r="W21" s="2">
        <v>7700</v>
      </c>
      <c r="X21" s="2" t="s">
        <v>0</v>
      </c>
    </row>
    <row r="22" spans="1:24" x14ac:dyDescent="0.45">
      <c r="A22" s="7" t="s">
        <v>57</v>
      </c>
      <c r="B22" s="23" t="s">
        <v>76</v>
      </c>
      <c r="C22" s="23"/>
      <c r="D22" s="23"/>
      <c r="O22" s="2">
        <f t="shared" si="1"/>
        <v>1.6706468799999996</v>
      </c>
      <c r="P22" s="2">
        <f t="shared" si="0"/>
        <v>0.46432963042531855</v>
      </c>
    </row>
    <row r="23" spans="1:24" x14ac:dyDescent="0.45">
      <c r="A23" s="7" t="s">
        <v>54</v>
      </c>
      <c r="B23" s="23" t="s">
        <v>30</v>
      </c>
      <c r="C23" s="23"/>
      <c r="O23" s="2">
        <f t="shared" si="1"/>
        <v>1.6696775999999995</v>
      </c>
      <c r="P23" s="2">
        <f t="shared" si="0"/>
        <v>0.46573565563910119</v>
      </c>
      <c r="S23" s="2" t="s">
        <v>3</v>
      </c>
      <c r="T23" s="7" t="s">
        <v>4</v>
      </c>
      <c r="U23" s="7" t="s">
        <v>5</v>
      </c>
      <c r="V23" s="8" t="s">
        <v>94</v>
      </c>
      <c r="W23" s="8" t="s">
        <v>95</v>
      </c>
      <c r="X23" s="7" t="s">
        <v>6</v>
      </c>
    </row>
    <row r="24" spans="1:24" ht="18" x14ac:dyDescent="0.45">
      <c r="A24" s="7" t="s">
        <v>53</v>
      </c>
      <c r="B24" s="9">
        <v>8800</v>
      </c>
      <c r="C24" s="2" t="s">
        <v>96</v>
      </c>
      <c r="O24" s="2">
        <f t="shared" si="1"/>
        <v>1.6687083199999995</v>
      </c>
      <c r="P24" s="2">
        <f t="shared" si="0"/>
        <v>0.46714901935848069</v>
      </c>
      <c r="R24" s="2" t="s">
        <v>7</v>
      </c>
      <c r="S24" s="2" t="s">
        <v>8</v>
      </c>
      <c r="T24" s="8" t="s">
        <v>9</v>
      </c>
      <c r="U24" s="8" t="s">
        <v>10</v>
      </c>
      <c r="V24" s="8" t="s">
        <v>9</v>
      </c>
      <c r="W24" s="8" t="s">
        <v>12</v>
      </c>
      <c r="X24" s="8" t="s">
        <v>13</v>
      </c>
    </row>
    <row r="25" spans="1:24" x14ac:dyDescent="0.45">
      <c r="A25" s="7" t="s">
        <v>56</v>
      </c>
      <c r="B25" s="9">
        <v>5</v>
      </c>
      <c r="C25" s="2" t="s">
        <v>62</v>
      </c>
      <c r="O25" s="2">
        <f t="shared" si="1"/>
        <v>1.6677390399999994</v>
      </c>
      <c r="P25" s="2">
        <f t="shared" si="0"/>
        <v>0.46856977547677225</v>
      </c>
      <c r="R25" s="2" t="s">
        <v>14</v>
      </c>
      <c r="S25" s="2" t="s">
        <v>14</v>
      </c>
      <c r="T25" s="10">
        <v>0.1138</v>
      </c>
      <c r="U25" s="10">
        <v>5.0000000000000001E-4</v>
      </c>
      <c r="V25" s="2">
        <v>0.12379999999999999</v>
      </c>
      <c r="W25" s="2">
        <v>8.077544426494347</v>
      </c>
      <c r="X25" s="11">
        <v>8.0510000000000002</v>
      </c>
    </row>
    <row r="26" spans="1:24" x14ac:dyDescent="0.45">
      <c r="A26" s="7" t="s">
        <v>60</v>
      </c>
      <c r="B26" s="9">
        <v>4</v>
      </c>
      <c r="C26" s="2" t="s">
        <v>62</v>
      </c>
      <c r="O26" s="2">
        <f t="shared" si="1"/>
        <v>1.6667697599999993</v>
      </c>
      <c r="P26" s="2">
        <f t="shared" si="0"/>
        <v>0.46999797839710888</v>
      </c>
      <c r="R26" s="2" t="s">
        <v>15</v>
      </c>
      <c r="S26" s="2" t="s">
        <v>16</v>
      </c>
      <c r="T26" s="10">
        <v>9.4103999999999993E-2</v>
      </c>
      <c r="U26" s="10">
        <v>3.4455E-4</v>
      </c>
      <c r="V26" s="2">
        <v>0.10100000000000001</v>
      </c>
      <c r="W26" s="2">
        <v>9.9009900990099009</v>
      </c>
      <c r="X26" s="11">
        <v>9.85</v>
      </c>
    </row>
    <row r="27" spans="1:24" x14ac:dyDescent="0.45">
      <c r="A27" s="7" t="s">
        <v>55</v>
      </c>
      <c r="B27" s="9">
        <v>7.8</v>
      </c>
      <c r="C27" s="2" t="s">
        <v>11</v>
      </c>
      <c r="O27" s="2">
        <f t="shared" si="1"/>
        <v>1.6658004799999993</v>
      </c>
      <c r="P27" s="2">
        <f t="shared" si="0"/>
        <v>0.47143368303834454</v>
      </c>
      <c r="R27" s="2" t="s">
        <v>17</v>
      </c>
      <c r="S27" s="2" t="s">
        <v>17</v>
      </c>
      <c r="T27" s="10">
        <v>0.1138</v>
      </c>
      <c r="U27" s="10">
        <v>5.0000000000000001E-4</v>
      </c>
      <c r="V27" s="2">
        <v>0.12379999999999999</v>
      </c>
      <c r="W27" s="2">
        <v>8.077544426494347</v>
      </c>
      <c r="X27" s="11">
        <v>8.0510000000000002</v>
      </c>
    </row>
    <row r="28" spans="1:24" x14ac:dyDescent="0.45">
      <c r="A28" s="7" t="s">
        <v>59</v>
      </c>
      <c r="B28" s="9">
        <v>6.2</v>
      </c>
      <c r="C28" s="2" t="s">
        <v>11</v>
      </c>
      <c r="O28" s="2">
        <f t="shared" si="1"/>
        <v>1.6648311999999992</v>
      </c>
      <c r="P28" s="2">
        <f t="shared" si="0"/>
        <v>0.47287694484103843</v>
      </c>
      <c r="R28" s="2" t="s">
        <v>19</v>
      </c>
      <c r="S28" s="2" t="s">
        <v>18</v>
      </c>
      <c r="T28" s="10">
        <v>6.6400000000000001E-2</v>
      </c>
      <c r="U28" s="10">
        <v>2.7409999999999999E-4</v>
      </c>
      <c r="V28" s="2">
        <v>7.1886000000000005E-2</v>
      </c>
      <c r="W28" s="2">
        <v>13.910914503519461</v>
      </c>
      <c r="X28" s="11">
        <v>13.86</v>
      </c>
    </row>
    <row r="29" spans="1:24" x14ac:dyDescent="0.45">
      <c r="A29" s="7" t="s">
        <v>81</v>
      </c>
      <c r="B29" s="9">
        <v>10</v>
      </c>
      <c r="C29" s="2" t="s">
        <v>58</v>
      </c>
      <c r="O29" s="2">
        <f t="shared" si="1"/>
        <v>1.6638619199999991</v>
      </c>
      <c r="P29" s="2">
        <f t="shared" si="0"/>
        <v>0.47432781977352001</v>
      </c>
      <c r="R29" s="2" t="s">
        <v>20</v>
      </c>
      <c r="S29" s="2" t="s">
        <v>18</v>
      </c>
      <c r="T29" s="10">
        <v>6.6400000000000001E-2</v>
      </c>
      <c r="U29" s="10">
        <v>2.7409999999999999E-4</v>
      </c>
      <c r="V29" s="2">
        <v>7.1886000000000005E-2</v>
      </c>
      <c r="W29" s="2">
        <v>13.910914503519461</v>
      </c>
      <c r="X29" s="11">
        <v>13.86</v>
      </c>
    </row>
    <row r="30" spans="1:24" x14ac:dyDescent="0.45">
      <c r="A30" s="7"/>
      <c r="O30" s="2">
        <f t="shared" si="1"/>
        <v>1.662892639999999</v>
      </c>
      <c r="P30" s="2">
        <f t="shared" si="0"/>
        <v>0.47578636433803889</v>
      </c>
      <c r="R30" s="2" t="s">
        <v>21</v>
      </c>
      <c r="S30" s="2" t="s">
        <v>22</v>
      </c>
      <c r="T30" s="10">
        <v>0.24129999999999999</v>
      </c>
      <c r="U30" s="10">
        <v>8.8000000000000003E-4</v>
      </c>
      <c r="V30" s="2">
        <v>0.25890000000000002</v>
      </c>
      <c r="W30" s="2">
        <v>3.8624951718810348</v>
      </c>
      <c r="X30" s="11">
        <v>3.84</v>
      </c>
    </row>
    <row r="31" spans="1:24" x14ac:dyDescent="0.45">
      <c r="B31" s="2" t="s">
        <v>90</v>
      </c>
      <c r="O31" s="2">
        <f t="shared" si="1"/>
        <v>1.661923359999999</v>
      </c>
      <c r="P31" s="2">
        <f t="shared" si="0"/>
        <v>0.47725263557699915</v>
      </c>
      <c r="R31" s="2" t="s">
        <v>23</v>
      </c>
      <c r="S31" s="2" t="s">
        <v>24</v>
      </c>
      <c r="T31" s="10">
        <v>0.1585</v>
      </c>
      <c r="U31" s="10">
        <v>5.9999999999999995E-4</v>
      </c>
      <c r="V31" s="2">
        <v>0.1714</v>
      </c>
      <c r="W31" s="2">
        <v>5.8343057176196034</v>
      </c>
      <c r="X31" s="11">
        <v>5.81</v>
      </c>
    </row>
    <row r="32" spans="1:24" ht="18" x14ac:dyDescent="0.45">
      <c r="B32" s="13">
        <f>S57*1.699</f>
        <v>33981.301250657198</v>
      </c>
      <c r="C32" s="2" t="s">
        <v>97</v>
      </c>
      <c r="O32" s="2">
        <f t="shared" si="1"/>
        <v>1.6609540799999989</v>
      </c>
      <c r="P32" s="2">
        <f t="shared" si="0"/>
        <v>0.47872669107927862</v>
      </c>
      <c r="R32" s="2" t="s">
        <v>25</v>
      </c>
      <c r="S32" s="2" t="s">
        <v>26</v>
      </c>
      <c r="T32" s="10">
        <v>0.18260000000000001</v>
      </c>
      <c r="U32" s="10">
        <v>6.9999999999999999E-4</v>
      </c>
      <c r="V32" s="2">
        <v>0.19719999999999999</v>
      </c>
      <c r="W32" s="2">
        <v>5.0709939148073024</v>
      </c>
      <c r="X32" s="11">
        <v>5.0199999999999996</v>
      </c>
    </row>
    <row r="33" spans="2:24" x14ac:dyDescent="0.45">
      <c r="O33" s="2">
        <f t="shared" si="1"/>
        <v>1.6599847999999988</v>
      </c>
      <c r="P33" s="2">
        <f t="shared" si="0"/>
        <v>0.48020858898663826</v>
      </c>
      <c r="R33" s="2" t="s">
        <v>27</v>
      </c>
      <c r="S33" s="2" t="s">
        <v>26</v>
      </c>
      <c r="T33" s="10">
        <v>0.18260000000000001</v>
      </c>
      <c r="U33" s="10">
        <v>6.9999999999999999E-4</v>
      </c>
      <c r="V33" s="2">
        <v>0.19719999999999999</v>
      </c>
      <c r="W33" s="2">
        <v>5.0709939148073024</v>
      </c>
      <c r="X33" s="11">
        <v>5.0199999999999996</v>
      </c>
    </row>
    <row r="34" spans="2:24" x14ac:dyDescent="0.45">
      <c r="B34" s="14" t="s">
        <v>68</v>
      </c>
      <c r="O34" s="2">
        <f t="shared" si="1"/>
        <v>1.6590155199999987</v>
      </c>
      <c r="P34" s="2">
        <f t="shared" si="0"/>
        <v>0.48169838800021775</v>
      </c>
      <c r="R34" s="2" t="s">
        <v>28</v>
      </c>
      <c r="S34" s="2" t="s">
        <v>29</v>
      </c>
      <c r="T34" s="10">
        <v>0.12690000000000001</v>
      </c>
      <c r="U34" s="10">
        <v>5.0000000000000001E-4</v>
      </c>
      <c r="V34" s="2">
        <v>0.13730000000000001</v>
      </c>
      <c r="W34" s="2">
        <v>7.2833211944646754</v>
      </c>
      <c r="X34" s="11">
        <v>7.26</v>
      </c>
    </row>
    <row r="35" spans="2:24" x14ac:dyDescent="0.45">
      <c r="B35" s="15">
        <f>ROUNDUP($S$57/W17,0)</f>
        <v>4</v>
      </c>
      <c r="C35" s="2" t="s">
        <v>87</v>
      </c>
      <c r="O35" s="2">
        <f t="shared" si="1"/>
        <v>1.6580462399999987</v>
      </c>
      <c r="P35" s="2">
        <f t="shared" si="0"/>
        <v>0.48319614738712258</v>
      </c>
      <c r="R35" s="2" t="s">
        <v>30</v>
      </c>
      <c r="S35" s="2" t="s">
        <v>29</v>
      </c>
      <c r="T35" s="10">
        <v>0.12690000000000001</v>
      </c>
      <c r="U35" s="10">
        <v>5.13E-4</v>
      </c>
      <c r="V35" s="2">
        <v>0.13730000000000001</v>
      </c>
      <c r="W35" s="2">
        <v>7.2833211944646754</v>
      </c>
      <c r="X35" s="11">
        <v>7.26</v>
      </c>
    </row>
    <row r="36" spans="2:24" x14ac:dyDescent="0.45">
      <c r="B36" s="15">
        <f>ROUNDUP($S$57/W18,0)</f>
        <v>4</v>
      </c>
      <c r="C36" s="2" t="s">
        <v>88</v>
      </c>
      <c r="O36" s="2">
        <f t="shared" si="1"/>
        <v>1.6570769599999986</v>
      </c>
      <c r="P36" s="2">
        <f t="shared" si="0"/>
        <v>0.48470192698710379</v>
      </c>
      <c r="R36" s="2" t="s">
        <v>31</v>
      </c>
      <c r="S36" s="2" t="s">
        <v>29</v>
      </c>
      <c r="T36" s="10">
        <v>0.12690000000000001</v>
      </c>
      <c r="U36" s="10">
        <v>5.0000000000000001E-4</v>
      </c>
      <c r="V36" s="2">
        <v>0.13730000000000001</v>
      </c>
      <c r="W36" s="2">
        <v>7.2833211944646754</v>
      </c>
      <c r="X36" s="11">
        <v>7.26</v>
      </c>
    </row>
    <row r="37" spans="2:24" x14ac:dyDescent="0.45">
      <c r="B37" s="15">
        <f>ROUNDUP($S$57/W19,0)</f>
        <v>3</v>
      </c>
      <c r="C37" s="2" t="s">
        <v>89</v>
      </c>
      <c r="O37" s="2">
        <f t="shared" si="1"/>
        <v>1.6561076799999985</v>
      </c>
      <c r="P37" s="2">
        <f t="shared" si="0"/>
        <v>0.48621578721932945</v>
      </c>
      <c r="R37" s="2" t="s">
        <v>32</v>
      </c>
      <c r="S37" s="2" t="s">
        <v>29</v>
      </c>
      <c r="T37" s="10">
        <v>0.12690000000000001</v>
      </c>
      <c r="U37" s="10">
        <v>5.13E-4</v>
      </c>
      <c r="V37" s="2">
        <v>0.13730000000000001</v>
      </c>
      <c r="W37" s="2">
        <v>7.2833211944646754</v>
      </c>
      <c r="X37" s="11">
        <v>7.26</v>
      </c>
    </row>
    <row r="38" spans="2:24" x14ac:dyDescent="0.45">
      <c r="B38" s="15">
        <f>ROUNDUP($S$57/W20,0)</f>
        <v>4</v>
      </c>
      <c r="C38" s="2" t="s">
        <v>101</v>
      </c>
      <c r="O38" s="2">
        <f t="shared" si="1"/>
        <v>1.6551383999999985</v>
      </c>
      <c r="P38" s="2">
        <f t="shared" si="0"/>
        <v>0.48773778908925203</v>
      </c>
      <c r="R38" s="2" t="s">
        <v>33</v>
      </c>
      <c r="S38" s="2" t="s">
        <v>34</v>
      </c>
      <c r="T38" s="10">
        <v>0.31640000000000001</v>
      </c>
      <c r="U38" s="10">
        <v>1.1999999999999999E-3</v>
      </c>
      <c r="V38" s="2">
        <v>0.34079999999999999</v>
      </c>
      <c r="W38" s="2">
        <v>2.9342723004694835</v>
      </c>
      <c r="X38" s="11">
        <v>2.92</v>
      </c>
    </row>
    <row r="39" spans="2:24" x14ac:dyDescent="0.45">
      <c r="B39" s="15">
        <f>ROUNDUP($S$57/W21,0)</f>
        <v>3</v>
      </c>
      <c r="C39" s="2" t="s">
        <v>102</v>
      </c>
      <c r="O39" s="2">
        <f t="shared" si="1"/>
        <v>1.6541691199999984</v>
      </c>
      <c r="P39" s="2">
        <f t="shared" si="0"/>
        <v>0.48926799419557121</v>
      </c>
      <c r="R39" s="2" t="s">
        <v>35</v>
      </c>
      <c r="S39" s="2" t="s">
        <v>36</v>
      </c>
      <c r="T39" s="10">
        <v>0.14130000000000001</v>
      </c>
      <c r="U39" s="10">
        <v>5.9999999999999995E-4</v>
      </c>
      <c r="V39" s="2">
        <v>0.15290000000000001</v>
      </c>
      <c r="W39" s="2">
        <v>6.5402223675604967</v>
      </c>
      <c r="X39" s="11">
        <v>6.52</v>
      </c>
    </row>
    <row r="40" spans="2:24" x14ac:dyDescent="0.45">
      <c r="B40"/>
      <c r="C40"/>
      <c r="D40"/>
      <c r="O40" s="2">
        <f t="shared" si="1"/>
        <v>1.6531998399999983</v>
      </c>
      <c r="P40" s="2">
        <f t="shared" si="0"/>
        <v>0.490806464737296</v>
      </c>
      <c r="R40" s="2" t="s">
        <v>37</v>
      </c>
      <c r="S40" s="2" t="s">
        <v>38</v>
      </c>
      <c r="T40" s="10">
        <v>0.56850000000000001</v>
      </c>
      <c r="U40" s="10">
        <v>2.0799999999999998E-3</v>
      </c>
      <c r="V40" s="2">
        <v>0.60229999999999995</v>
      </c>
      <c r="W40" s="2">
        <v>1.6603021749958493</v>
      </c>
      <c r="X40" s="11">
        <v>1.66</v>
      </c>
    </row>
    <row r="41" spans="2:24" x14ac:dyDescent="0.45">
      <c r="O41" s="2">
        <f t="shared" si="1"/>
        <v>1.6522305599999982</v>
      </c>
      <c r="P41" s="2">
        <f t="shared" si="0"/>
        <v>0.49235326352090392</v>
      </c>
      <c r="R41" s="2" t="s">
        <v>39</v>
      </c>
      <c r="S41" s="2" t="s">
        <v>40</v>
      </c>
      <c r="T41" s="10">
        <v>0.79969999999999997</v>
      </c>
      <c r="U41" s="10">
        <v>2.9299999999999999E-3</v>
      </c>
      <c r="V41" s="2">
        <v>0.85819999999999996</v>
      </c>
      <c r="W41" s="2">
        <v>1.1652295502213936</v>
      </c>
      <c r="X41" s="11">
        <v>1.1599999999999999</v>
      </c>
    </row>
    <row r="42" spans="2:24" x14ac:dyDescent="0.45">
      <c r="O42" s="2">
        <f t="shared" si="1"/>
        <v>1.6512612799999982</v>
      </c>
      <c r="P42" s="2">
        <f t="shared" si="0"/>
        <v>0.49390845396760447</v>
      </c>
      <c r="R42" s="2" t="s">
        <v>41</v>
      </c>
      <c r="S42" s="2" t="s">
        <v>42</v>
      </c>
      <c r="T42" s="10">
        <v>0.65798999999999996</v>
      </c>
      <c r="U42" s="10">
        <v>2.3900000000000002E-3</v>
      </c>
      <c r="V42" s="2">
        <v>0.70699999999999996</v>
      </c>
      <c r="W42" s="2">
        <v>1.4144271570014144</v>
      </c>
      <c r="X42" s="11">
        <v>1.41</v>
      </c>
    </row>
    <row r="43" spans="2:24" x14ac:dyDescent="0.45">
      <c r="O43" s="2">
        <f t="shared" si="1"/>
        <v>1.6502919999999981</v>
      </c>
      <c r="P43" s="2">
        <f t="shared" si="0"/>
        <v>0.49547210012070225</v>
      </c>
      <c r="R43" s="2" t="s">
        <v>43</v>
      </c>
      <c r="S43" s="2" t="s">
        <v>44</v>
      </c>
      <c r="T43" s="10">
        <v>0.65980000000000005</v>
      </c>
      <c r="U43" s="10">
        <v>2.4199999999999998E-3</v>
      </c>
      <c r="V43" s="2">
        <v>0.70809999999999995</v>
      </c>
      <c r="W43" s="2">
        <v>1.4122299110295158</v>
      </c>
      <c r="X43" s="11">
        <v>1.41</v>
      </c>
    </row>
    <row r="44" spans="2:24" x14ac:dyDescent="0.45">
      <c r="O44" s="2">
        <f t="shared" si="1"/>
        <v>1.649322719999998</v>
      </c>
      <c r="P44" s="2">
        <f t="shared" si="0"/>
        <v>0.49704426665306634</v>
      </c>
      <c r="R44" s="2" t="s">
        <v>45</v>
      </c>
      <c r="S44" s="2" t="s">
        <v>46</v>
      </c>
      <c r="T44" s="10">
        <v>0.65980000000000005</v>
      </c>
      <c r="U44" s="10">
        <v>2.4199999999999998E-3</v>
      </c>
      <c r="V44" s="2">
        <v>0.70809999999999995</v>
      </c>
      <c r="W44" s="2">
        <v>1.4122299110295158</v>
      </c>
      <c r="X44" s="11">
        <v>1.41</v>
      </c>
    </row>
    <row r="45" spans="2:24" x14ac:dyDescent="0.45">
      <c r="O45" s="2">
        <f t="shared" si="1"/>
        <v>1.6483534399999979</v>
      </c>
      <c r="P45" s="2">
        <f t="shared" si="0"/>
        <v>0.49862501887470601</v>
      </c>
      <c r="R45" s="2" t="s">
        <v>47</v>
      </c>
      <c r="S45" s="2" t="s">
        <v>44</v>
      </c>
      <c r="T45" s="10">
        <v>0.65980000000000005</v>
      </c>
      <c r="U45" s="10">
        <v>2.4199999999999998E-3</v>
      </c>
      <c r="V45" s="2">
        <v>0.70809999999999995</v>
      </c>
      <c r="W45" s="2">
        <v>1.4122299110295158</v>
      </c>
      <c r="X45" s="11">
        <v>1.41</v>
      </c>
    </row>
    <row r="46" spans="2:24" x14ac:dyDescent="0.45">
      <c r="O46" s="2">
        <f t="shared" si="1"/>
        <v>1.6473841599999979</v>
      </c>
      <c r="P46" s="2">
        <f t="shared" si="0"/>
        <v>0.50021442274045214</v>
      </c>
      <c r="R46" s="2" t="s">
        <v>48</v>
      </c>
      <c r="S46" s="2" t="s">
        <v>48</v>
      </c>
      <c r="T46" s="10">
        <v>0.49747000000000002</v>
      </c>
      <c r="U46" s="10">
        <v>2.0300000000000001E-3</v>
      </c>
      <c r="V46" s="2">
        <v>0.54700000000000004</v>
      </c>
      <c r="W46" s="2">
        <v>1.8281535648994514</v>
      </c>
      <c r="X46" s="11">
        <v>1.8320000000000001</v>
      </c>
    </row>
    <row r="47" spans="2:24" x14ac:dyDescent="0.45">
      <c r="O47" s="2">
        <f t="shared" si="1"/>
        <v>1.6464148799999978</v>
      </c>
      <c r="P47" s="2">
        <f t="shared" si="0"/>
        <v>0.50181254485775129</v>
      </c>
      <c r="R47" s="2" t="s">
        <v>49</v>
      </c>
      <c r="S47" s="2" t="s">
        <v>50</v>
      </c>
      <c r="T47" s="10">
        <v>0.14871000000000001</v>
      </c>
      <c r="U47" s="10">
        <v>5.6999999999999998E-4</v>
      </c>
      <c r="V47" s="2">
        <v>0.16</v>
      </c>
      <c r="W47" s="2">
        <v>6.25</v>
      </c>
      <c r="X47" s="11">
        <v>6.2830000000000004</v>
      </c>
    </row>
    <row r="48" spans="2:24" x14ac:dyDescent="0.45">
      <c r="O48" s="2">
        <f t="shared" si="1"/>
        <v>1.6454455999999977</v>
      </c>
      <c r="P48" s="2">
        <f t="shared" si="0"/>
        <v>0.50341945249456876</v>
      </c>
      <c r="R48" s="2" t="s">
        <v>51</v>
      </c>
      <c r="S48" s="2" t="s">
        <v>52</v>
      </c>
      <c r="T48" s="10">
        <v>0.2172</v>
      </c>
      <c r="U48" s="10">
        <v>8.9999999999999998E-4</v>
      </c>
      <c r="V48" s="2">
        <v>0.23519999999999999</v>
      </c>
      <c r="W48" s="2">
        <v>4.2517006802721093</v>
      </c>
      <c r="X48" s="11">
        <v>3.85</v>
      </c>
    </row>
    <row r="49" spans="15:20" x14ac:dyDescent="0.45">
      <c r="O49" s="2">
        <f t="shared" si="1"/>
        <v>1.6444763199999977</v>
      </c>
      <c r="P49" s="2">
        <f t="shared" si="0"/>
        <v>0.50503521358740644</v>
      </c>
    </row>
    <row r="50" spans="15:20" x14ac:dyDescent="0.45">
      <c r="O50" s="2">
        <f t="shared" si="1"/>
        <v>1.6435070399999976</v>
      </c>
      <c r="P50" s="2">
        <f t="shared" ref="P50:P81" si="2">((2*9.81*$B$25*ABS(O50-1.202)^(($S$56+1)/$S$56)+2*0*ABS(O50-1.202)^(1/$S$56))/(O50+1.202*(0.5/(1-0.5))^(1/$S$56)))^(-1*$S$56)</f>
        <v>0.50665989674943523</v>
      </c>
      <c r="R50" s="24" t="str">
        <f>B22</f>
        <v>Descending interface</v>
      </c>
      <c r="S50" s="24"/>
    </row>
    <row r="51" spans="15:20" x14ac:dyDescent="0.45">
      <c r="O51" s="2">
        <f t="shared" ref="O51:O82" si="3">O50-$N$17</f>
        <v>1.6425377599999975</v>
      </c>
      <c r="P51" s="2">
        <f t="shared" si="2"/>
        <v>0.50829357127874419</v>
      </c>
      <c r="R51" s="2" t="s">
        <v>67</v>
      </c>
      <c r="S51" s="12">
        <f>S52/(1.202/2)^S56</f>
        <v>1.0977583833110698</v>
      </c>
    </row>
    <row r="52" spans="15:20" x14ac:dyDescent="0.45">
      <c r="O52" s="2">
        <f t="shared" si="3"/>
        <v>1.6415684799999974</v>
      </c>
      <c r="P52" s="2">
        <f t="shared" si="2"/>
        <v>0.5099363071667099</v>
      </c>
      <c r="R52" s="2" t="s">
        <v>64</v>
      </c>
      <c r="S52" s="12">
        <f>IF(B22="Descending interface",(B24/B25)*((S53*B25)^(1-S56)-(S53*IF(B21="ISO 14520",S60,B26))^(1-S56))/((1-S56)*B29*60*0.5*S53),(B24/(0.5*B29*60))*ABS(S54-S55)*AVERAGE(P18:P1017))</f>
        <v>0.82963625419946341</v>
      </c>
    </row>
    <row r="53" spans="15:20" x14ac:dyDescent="0.45">
      <c r="O53" s="2">
        <f t="shared" si="3"/>
        <v>1.6405991999999974</v>
      </c>
      <c r="P53" s="2">
        <f t="shared" si="2"/>
        <v>0.51158817510648569</v>
      </c>
      <c r="R53" s="2" t="s">
        <v>63</v>
      </c>
      <c r="S53" s="12">
        <f>2*9.81*(S54-1.202)/(S54+1.202*(0.5/(1-0.5))^(1/S56))</f>
        <v>3.222959683284409</v>
      </c>
    </row>
    <row r="54" spans="15:20" x14ac:dyDescent="0.45">
      <c r="O54" s="2">
        <f t="shared" si="3"/>
        <v>1.6396299199999973</v>
      </c>
      <c r="P54" s="2">
        <f t="shared" si="2"/>
        <v>0.51324924650161396</v>
      </c>
      <c r="R54" s="2" t="s">
        <v>65</v>
      </c>
      <c r="S54" s="12">
        <f>VLOOKUP(B23,R25:X48,7,FALSE)*B27/100+(1.202*(100-B27)/100)</f>
        <v>1.6745239999999999</v>
      </c>
    </row>
    <row r="55" spans="15:20" x14ac:dyDescent="0.45">
      <c r="O55" s="2">
        <f t="shared" si="3"/>
        <v>1.6386606399999972</v>
      </c>
      <c r="P55" s="2">
        <f t="shared" si="2"/>
        <v>0.51491959347476512</v>
      </c>
      <c r="R55" s="2" t="s">
        <v>73</v>
      </c>
      <c r="S55" s="12">
        <f>VLOOKUP(B23,R25:X48,7,FALSE)*B28/100+(1.202*(100-B28)/100)</f>
        <v>1.577596</v>
      </c>
    </row>
    <row r="56" spans="15:20" x14ac:dyDescent="0.45">
      <c r="O56" s="2">
        <f t="shared" si="3"/>
        <v>1.6376913599999972</v>
      </c>
      <c r="P56" s="2">
        <f t="shared" si="2"/>
        <v>0.51659928887660167</v>
      </c>
      <c r="R56" s="2" t="s">
        <v>66</v>
      </c>
      <c r="S56" s="2">
        <v>0.55000000000000004</v>
      </c>
    </row>
    <row r="57" spans="15:20" x14ac:dyDescent="0.45">
      <c r="O57" s="2">
        <f t="shared" si="3"/>
        <v>1.6367220799999971</v>
      </c>
      <c r="P57" s="2">
        <f t="shared" si="2"/>
        <v>0.51828840629477291</v>
      </c>
      <c r="R57" s="2" t="s">
        <v>75</v>
      </c>
      <c r="S57" s="12">
        <f>S51*IF(B21="NFPA 2001 (2004)",MAX(10,S59),50)^S56*2118.88</f>
        <v>20000.765892087813</v>
      </c>
      <c r="T57" s="12" t="s">
        <v>0</v>
      </c>
    </row>
    <row r="58" spans="15:20" x14ac:dyDescent="0.45">
      <c r="O58" s="2">
        <f t="shared" si="3"/>
        <v>1.635752799999997</v>
      </c>
      <c r="P58" s="2">
        <f t="shared" si="2"/>
        <v>0.51998702006304054</v>
      </c>
    </row>
    <row r="59" spans="15:20" x14ac:dyDescent="0.45">
      <c r="O59" s="2">
        <f t="shared" si="3"/>
        <v>1.6347835199999969</v>
      </c>
      <c r="P59" s="2">
        <f t="shared" si="2"/>
        <v>0.5216952052705387</v>
      </c>
      <c r="R59" s="2" t="s">
        <v>77</v>
      </c>
      <c r="S59" s="12">
        <f>9.81*B25*(S54-1.202)</f>
        <v>23.1773022</v>
      </c>
    </row>
    <row r="60" spans="15:20" x14ac:dyDescent="0.45">
      <c r="O60" s="2">
        <f t="shared" si="3"/>
        <v>1.6338142399999969</v>
      </c>
      <c r="P60" s="2">
        <f t="shared" si="2"/>
        <v>0.52341303777116965</v>
      </c>
      <c r="R60" s="2" t="s">
        <v>79</v>
      </c>
      <c r="S60" s="12">
        <f>B25-(B25-B26)*B27/(2*B28)</f>
        <v>4.370967741935484</v>
      </c>
    </row>
    <row r="61" spans="15:20" x14ac:dyDescent="0.45">
      <c r="O61" s="2">
        <f t="shared" si="3"/>
        <v>1.6328449599999968</v>
      </c>
      <c r="P61" s="2">
        <f t="shared" si="2"/>
        <v>0.52514059419313774</v>
      </c>
    </row>
    <row r="62" spans="15:20" x14ac:dyDescent="0.45">
      <c r="O62" s="2">
        <f t="shared" si="3"/>
        <v>1.6318756799999967</v>
      </c>
      <c r="P62" s="2">
        <f t="shared" si="2"/>
        <v>0.5268779519486233</v>
      </c>
    </row>
    <row r="63" spans="15:20" x14ac:dyDescent="0.45">
      <c r="O63" s="2">
        <f t="shared" si="3"/>
        <v>1.6309063999999966</v>
      </c>
      <c r="P63" s="2">
        <f t="shared" si="2"/>
        <v>0.52862518924360213</v>
      </c>
    </row>
    <row r="64" spans="15:20" x14ac:dyDescent="0.45">
      <c r="O64" s="2">
        <f t="shared" si="3"/>
        <v>1.6299371199999966</v>
      </c>
      <c r="P64" s="2">
        <f t="shared" si="2"/>
        <v>0.530382385087807</v>
      </c>
    </row>
    <row r="65" spans="15:16" x14ac:dyDescent="0.45">
      <c r="O65" s="2">
        <f t="shared" si="3"/>
        <v>1.6289678399999965</v>
      </c>
      <c r="P65" s="2">
        <f t="shared" si="2"/>
        <v>0.53214961930483973</v>
      </c>
    </row>
    <row r="66" spans="15:16" x14ac:dyDescent="0.45">
      <c r="O66" s="2">
        <f t="shared" si="3"/>
        <v>1.6279985599999964</v>
      </c>
      <c r="P66" s="2">
        <f t="shared" si="2"/>
        <v>0.5339269725424336</v>
      </c>
    </row>
    <row r="67" spans="15:16" x14ac:dyDescent="0.45">
      <c r="O67" s="2">
        <f t="shared" si="3"/>
        <v>1.6270292799999964</v>
      </c>
      <c r="P67" s="2">
        <f t="shared" si="2"/>
        <v>0.53571452628286742</v>
      </c>
    </row>
    <row r="68" spans="15:16" x14ac:dyDescent="0.45">
      <c r="O68" s="2">
        <f t="shared" si="3"/>
        <v>1.6260599999999963</v>
      </c>
      <c r="P68" s="2">
        <f t="shared" si="2"/>
        <v>0.53751236285353676</v>
      </c>
    </row>
    <row r="69" spans="15:16" x14ac:dyDescent="0.45">
      <c r="O69" s="2">
        <f t="shared" si="3"/>
        <v>1.6250907199999962</v>
      </c>
      <c r="P69" s="2">
        <f t="shared" si="2"/>
        <v>0.53932056543768314</v>
      </c>
    </row>
    <row r="70" spans="15:16" x14ac:dyDescent="0.45">
      <c r="O70" s="2">
        <f t="shared" si="3"/>
        <v>1.6241214399999961</v>
      </c>
      <c r="P70" s="2">
        <f t="shared" si="2"/>
        <v>0.54113921808528509</v>
      </c>
    </row>
    <row r="71" spans="15:16" x14ac:dyDescent="0.45">
      <c r="O71" s="2">
        <f t="shared" si="3"/>
        <v>1.6231521599999961</v>
      </c>
      <c r="P71" s="2">
        <f t="shared" si="2"/>
        <v>0.54296840572411198</v>
      </c>
    </row>
    <row r="72" spans="15:16" x14ac:dyDescent="0.45">
      <c r="O72" s="2">
        <f t="shared" si="3"/>
        <v>1.622182879999996</v>
      </c>
      <c r="P72" s="2">
        <f t="shared" si="2"/>
        <v>0.54480821417094583</v>
      </c>
    </row>
    <row r="73" spans="15:16" x14ac:dyDescent="0.45">
      <c r="O73" s="2">
        <f t="shared" si="3"/>
        <v>1.6212135999999959</v>
      </c>
      <c r="P73" s="2">
        <f t="shared" si="2"/>
        <v>0.54665873014297295</v>
      </c>
    </row>
    <row r="74" spans="15:16" x14ac:dyDescent="0.45">
      <c r="O74" s="2">
        <f t="shared" si="3"/>
        <v>1.6202443199999959</v>
      </c>
      <c r="P74" s="2">
        <f t="shared" si="2"/>
        <v>0.54852004126934661</v>
      </c>
    </row>
    <row r="75" spans="15:16" x14ac:dyDescent="0.45">
      <c r="O75" s="2">
        <f t="shared" si="3"/>
        <v>1.6192750399999958</v>
      </c>
      <c r="P75" s="2">
        <f t="shared" si="2"/>
        <v>0.55039223610292898</v>
      </c>
    </row>
    <row r="76" spans="15:16" x14ac:dyDescent="0.45">
      <c r="O76" s="2">
        <f t="shared" si="3"/>
        <v>1.6183057599999957</v>
      </c>
      <c r="P76" s="2">
        <f t="shared" si="2"/>
        <v>0.55227540413220777</v>
      </c>
    </row>
    <row r="77" spans="15:16" x14ac:dyDescent="0.45">
      <c r="O77" s="2">
        <f t="shared" si="3"/>
        <v>1.6173364799999956</v>
      </c>
      <c r="P77" s="2">
        <f t="shared" si="2"/>
        <v>0.55416963579339862</v>
      </c>
    </row>
    <row r="78" spans="15:16" x14ac:dyDescent="0.45">
      <c r="O78" s="2">
        <f t="shared" si="3"/>
        <v>1.6163671999999956</v>
      </c>
      <c r="P78" s="2">
        <f t="shared" si="2"/>
        <v>0.55607502248273</v>
      </c>
    </row>
    <row r="79" spans="15:16" x14ac:dyDescent="0.45">
      <c r="O79" s="2">
        <f t="shared" si="3"/>
        <v>1.6153979199999955</v>
      </c>
      <c r="P79" s="2">
        <f t="shared" si="2"/>
        <v>0.55799165656891847</v>
      </c>
    </row>
    <row r="80" spans="15:16" x14ac:dyDescent="0.45">
      <c r="O80" s="2">
        <f t="shared" si="3"/>
        <v>1.6144286399999954</v>
      </c>
      <c r="P80" s="2">
        <f t="shared" si="2"/>
        <v>0.55991963140583434</v>
      </c>
    </row>
    <row r="81" spans="15:16" x14ac:dyDescent="0.45">
      <c r="O81" s="2">
        <f t="shared" si="3"/>
        <v>1.6134593599999953</v>
      </c>
      <c r="P81" s="2">
        <f t="shared" si="2"/>
        <v>0.56185904134536435</v>
      </c>
    </row>
    <row r="82" spans="15:16" x14ac:dyDescent="0.45">
      <c r="O82" s="2">
        <f t="shared" si="3"/>
        <v>1.6124900799999953</v>
      </c>
      <c r="P82" s="2">
        <f t="shared" ref="P82:P113" si="4">((2*9.81*$B$25*ABS(O82-1.202)^(($S$56+1)/$S$56)+2*0*ABS(O82-1.202)^(1/$S$56))/(O82+1.202*(0.5/(1-0.5))^(1/$S$56)))^(-1*$S$56)</f>
        <v>0.56380998175047115</v>
      </c>
    </row>
    <row r="83" spans="15:16" x14ac:dyDescent="0.45">
      <c r="O83" s="2">
        <f t="shared" ref="O83:O118" si="5">O82-$N$17</f>
        <v>1.6115207999999952</v>
      </c>
      <c r="P83" s="2">
        <f t="shared" si="4"/>
        <v>0.5657725490084573</v>
      </c>
    </row>
    <row r="84" spans="15:16" x14ac:dyDescent="0.45">
      <c r="O84" s="2">
        <f t="shared" si="5"/>
        <v>1.6105515199999951</v>
      </c>
      <c r="P84" s="2">
        <f t="shared" si="4"/>
        <v>0.56774684054443236</v>
      </c>
    </row>
    <row r="85" spans="15:16" x14ac:dyDescent="0.45">
      <c r="O85" s="2">
        <f t="shared" si="5"/>
        <v>1.6095822399999951</v>
      </c>
      <c r="P85" s="2">
        <f t="shared" si="4"/>
        <v>0.56973295483499253</v>
      </c>
    </row>
    <row r="86" spans="15:16" x14ac:dyDescent="0.45">
      <c r="O86" s="2">
        <f t="shared" si="5"/>
        <v>1.608612959999995</v>
      </c>
      <c r="P86" s="2">
        <f t="shared" si="4"/>
        <v>0.57173099142211237</v>
      </c>
    </row>
    <row r="87" spans="15:16" x14ac:dyDescent="0.45">
      <c r="O87" s="2">
        <f t="shared" si="5"/>
        <v>1.6076436799999949</v>
      </c>
      <c r="P87" s="2">
        <f t="shared" si="4"/>
        <v>0.57374105092725292</v>
      </c>
    </row>
    <row r="88" spans="15:16" x14ac:dyDescent="0.45">
      <c r="O88" s="2">
        <f t="shared" si="5"/>
        <v>1.6066743999999948</v>
      </c>
      <c r="P88" s="2">
        <f t="shared" si="4"/>
        <v>0.57576323506569294</v>
      </c>
    </row>
    <row r="89" spans="15:16" x14ac:dyDescent="0.45">
      <c r="O89" s="2">
        <f t="shared" si="5"/>
        <v>1.6057051199999948</v>
      </c>
      <c r="P89" s="2">
        <f t="shared" si="4"/>
        <v>0.57779764666108346</v>
      </c>
    </row>
    <row r="90" spans="15:16" x14ac:dyDescent="0.45">
      <c r="O90" s="2">
        <f t="shared" si="5"/>
        <v>1.6047358399999947</v>
      </c>
      <c r="P90" s="2">
        <f t="shared" si="4"/>
        <v>0.57984438966023333</v>
      </c>
    </row>
    <row r="91" spans="15:16" x14ac:dyDescent="0.45">
      <c r="O91" s="2">
        <f t="shared" si="5"/>
        <v>1.6037665599999946</v>
      </c>
      <c r="P91" s="2">
        <f t="shared" si="4"/>
        <v>0.58190356914812591</v>
      </c>
    </row>
    <row r="92" spans="15:16" x14ac:dyDescent="0.45">
      <c r="O92" s="2">
        <f t="shared" si="5"/>
        <v>1.6027972799999946</v>
      </c>
      <c r="P92" s="2">
        <f t="shared" si="4"/>
        <v>0.58397529136317694</v>
      </c>
    </row>
    <row r="93" spans="15:16" x14ac:dyDescent="0.45">
      <c r="O93" s="2">
        <f t="shared" si="5"/>
        <v>1.6018279999999945</v>
      </c>
      <c r="P93" s="2">
        <f t="shared" si="4"/>
        <v>0.58605966371273077</v>
      </c>
    </row>
    <row r="94" spans="15:16" x14ac:dyDescent="0.45">
      <c r="O94" s="2">
        <f t="shared" si="5"/>
        <v>1.6008587199999944</v>
      </c>
      <c r="P94" s="2">
        <f t="shared" si="4"/>
        <v>0.58815679478880545</v>
      </c>
    </row>
    <row r="95" spans="15:16" x14ac:dyDescent="0.45">
      <c r="O95" s="2">
        <f t="shared" si="5"/>
        <v>1.5998894399999943</v>
      </c>
      <c r="P95" s="2">
        <f t="shared" si="4"/>
        <v>0.59026679438408802</v>
      </c>
    </row>
    <row r="96" spans="15:16" x14ac:dyDescent="0.45">
      <c r="O96" s="2">
        <f t="shared" si="5"/>
        <v>1.5989201599999943</v>
      </c>
      <c r="P96" s="2">
        <f t="shared" si="4"/>
        <v>0.592389773508186</v>
      </c>
    </row>
    <row r="97" spans="15:16" x14ac:dyDescent="0.45">
      <c r="O97" s="2">
        <f t="shared" si="5"/>
        <v>1.5979508799999942</v>
      </c>
      <c r="P97" s="2">
        <f t="shared" si="4"/>
        <v>0.59452584440413814</v>
      </c>
    </row>
    <row r="98" spans="15:16" x14ac:dyDescent="0.45">
      <c r="O98" s="2">
        <f t="shared" si="5"/>
        <v>1.5969815999999941</v>
      </c>
      <c r="P98" s="2">
        <f t="shared" si="4"/>
        <v>0.59667512056519201</v>
      </c>
    </row>
    <row r="99" spans="15:16" x14ac:dyDescent="0.45">
      <c r="O99" s="2">
        <f t="shared" si="5"/>
        <v>1.596012319999994</v>
      </c>
      <c r="P99" s="2">
        <f t="shared" si="4"/>
        <v>0.59883771675185049</v>
      </c>
    </row>
    <row r="100" spans="15:16" x14ac:dyDescent="0.45">
      <c r="O100" s="2">
        <f t="shared" si="5"/>
        <v>1.595043039999994</v>
      </c>
      <c r="P100" s="2">
        <f t="shared" si="4"/>
        <v>0.60101374900919291</v>
      </c>
    </row>
    <row r="101" spans="15:16" x14ac:dyDescent="0.45">
      <c r="O101" s="2">
        <f t="shared" si="5"/>
        <v>1.5940737599999939</v>
      </c>
      <c r="P101" s="2">
        <f t="shared" si="4"/>
        <v>0.6032033346844794</v>
      </c>
    </row>
    <row r="102" spans="15:16" x14ac:dyDescent="0.45">
      <c r="O102" s="2">
        <f t="shared" si="5"/>
        <v>1.5931044799999938</v>
      </c>
      <c r="P102" s="2">
        <f t="shared" si="4"/>
        <v>0.60540659244503636</v>
      </c>
    </row>
    <row r="103" spans="15:16" x14ac:dyDescent="0.45">
      <c r="O103" s="2">
        <f t="shared" si="5"/>
        <v>1.5921351999999938</v>
      </c>
      <c r="P103" s="2">
        <f t="shared" si="4"/>
        <v>0.60762364229643706</v>
      </c>
    </row>
    <row r="104" spans="15:16" x14ac:dyDescent="0.45">
      <c r="O104" s="2">
        <f t="shared" si="5"/>
        <v>1.5911659199999937</v>
      </c>
      <c r="P104" s="2">
        <f t="shared" si="4"/>
        <v>0.6098546056009756</v>
      </c>
    </row>
    <row r="105" spans="15:16" x14ac:dyDescent="0.45">
      <c r="O105" s="2">
        <f t="shared" si="5"/>
        <v>1.5901966399999936</v>
      </c>
      <c r="P105" s="2">
        <f t="shared" si="4"/>
        <v>0.61209960509644468</v>
      </c>
    </row>
    <row r="106" spans="15:16" x14ac:dyDescent="0.45">
      <c r="O106" s="2">
        <f t="shared" si="5"/>
        <v>1.5892273599999935</v>
      </c>
      <c r="P106" s="2">
        <f t="shared" si="4"/>
        <v>0.6143587649152199</v>
      </c>
    </row>
    <row r="107" spans="15:16" x14ac:dyDescent="0.45">
      <c r="O107" s="2">
        <f t="shared" si="5"/>
        <v>1.5882580799999935</v>
      </c>
      <c r="P107" s="2">
        <f t="shared" si="4"/>
        <v>0.61663221060365769</v>
      </c>
    </row>
    <row r="108" spans="15:16" x14ac:dyDescent="0.45">
      <c r="O108" s="2">
        <f t="shared" si="5"/>
        <v>1.5872887999999934</v>
      </c>
      <c r="P108" s="2">
        <f t="shared" si="4"/>
        <v>0.61892006914181386</v>
      </c>
    </row>
    <row r="109" spans="15:16" x14ac:dyDescent="0.45">
      <c r="O109" s="2">
        <f t="shared" si="5"/>
        <v>1.5863195199999933</v>
      </c>
      <c r="P109" s="2">
        <f t="shared" si="4"/>
        <v>0.62122246896348565</v>
      </c>
    </row>
    <row r="110" spans="15:16" x14ac:dyDescent="0.45">
      <c r="O110" s="2">
        <f t="shared" si="5"/>
        <v>1.5853502399999932</v>
      </c>
      <c r="P110" s="2">
        <f t="shared" si="4"/>
        <v>0.6235395399765874</v>
      </c>
    </row>
    <row r="111" spans="15:16" x14ac:dyDescent="0.45">
      <c r="O111" s="2">
        <f t="shared" si="5"/>
        <v>1.5843809599999932</v>
      </c>
      <c r="P111" s="2">
        <f t="shared" si="4"/>
        <v>0.62587141358386267</v>
      </c>
    </row>
    <row r="112" spans="15:16" x14ac:dyDescent="0.45">
      <c r="O112" s="2">
        <f t="shared" si="5"/>
        <v>1.5834116799999931</v>
      </c>
      <c r="P112" s="2">
        <f t="shared" si="4"/>
        <v>0.62821822270394245</v>
      </c>
    </row>
    <row r="113" spans="15:16" x14ac:dyDescent="0.45">
      <c r="O113" s="2">
        <f t="shared" si="5"/>
        <v>1.582442399999993</v>
      </c>
      <c r="P113" s="2">
        <f t="shared" si="4"/>
        <v>0.63058010179275326</v>
      </c>
    </row>
    <row r="114" spans="15:16" x14ac:dyDescent="0.45">
      <c r="O114" s="2">
        <f t="shared" si="5"/>
        <v>1.581473119999993</v>
      </c>
      <c r="P114" s="2">
        <f t="shared" ref="P114:P118" si="6">((2*9.81*$B$25*ABS(O114-1.202)^(($S$56+1)/$S$56)+2*0*ABS(O114-1.202)^(1/$S$56))/(O114+1.202*(0.5/(1-0.5))^(1/$S$56)))^(-1*$S$56)</f>
        <v>0.63295718686528424</v>
      </c>
    </row>
    <row r="115" spans="15:16" x14ac:dyDescent="0.45">
      <c r="O115" s="2">
        <f t="shared" si="5"/>
        <v>1.5805038399999929</v>
      </c>
      <c r="P115" s="2">
        <f t="shared" si="6"/>
        <v>0.6353496155177184</v>
      </c>
    </row>
    <row r="116" spans="15:16" x14ac:dyDescent="0.45">
      <c r="O116" s="2">
        <f t="shared" si="5"/>
        <v>1.5795345599999928</v>
      </c>
      <c r="P116" s="2">
        <f t="shared" si="6"/>
        <v>0.63775752694993559</v>
      </c>
    </row>
    <row r="117" spans="15:16" x14ac:dyDescent="0.45">
      <c r="O117" s="2">
        <f t="shared" si="5"/>
        <v>1.5785652799999927</v>
      </c>
      <c r="P117" s="2">
        <f t="shared" si="6"/>
        <v>0.64018106198839597</v>
      </c>
    </row>
    <row r="118" spans="15:16" x14ac:dyDescent="0.45">
      <c r="O118" s="2">
        <f t="shared" si="5"/>
        <v>1.5775959999999927</v>
      </c>
      <c r="P118" s="2">
        <f t="shared" si="6"/>
        <v>0.64262036310940818</v>
      </c>
    </row>
  </sheetData>
  <sheetProtection algorithmName="SHA-512" hashValue="t3iolZAukAiohhiTL6BC/YBXgHnAnr/fVZPg0yszyhZmSWTVNNJZKpXDbCOAQYN0gtFu7MERajwNxsq9uaEUhA==" saltValue="SEL2ZdmW2IWiEUnD8XpZtA==" spinCount="100000" sheet="1" selectLockedCells="1"/>
  <mergeCells count="6">
    <mergeCell ref="G15:H15"/>
    <mergeCell ref="A17:F19"/>
    <mergeCell ref="R50:S50"/>
    <mergeCell ref="B21:D21"/>
    <mergeCell ref="B22:D22"/>
    <mergeCell ref="B23:C23"/>
  </mergeCells>
  <conditionalFormatting sqref="A26:C26">
    <cfRule type="expression" dxfId="1" priority="3">
      <formula>$B$22="Continual mixing"</formula>
    </cfRule>
  </conditionalFormatting>
  <conditionalFormatting sqref="A28:C28">
    <cfRule type="expression" dxfId="0" priority="4">
      <formula>AND($B$22="Descending interface",OR($B$21="NFPA 2001 (2004)",$B$21="NFPA 2001 (2012)"))</formula>
    </cfRule>
  </conditionalFormatting>
  <dataValidations count="3">
    <dataValidation type="list" allowBlank="1" showInputMessage="1" showErrorMessage="1" sqref="B23">
      <formula1>$R$25:$R$48</formula1>
    </dataValidation>
    <dataValidation type="list" allowBlank="1" showInputMessage="1" showErrorMessage="1" sqref="B22">
      <formula1>"Descending interface,Continual mixing"</formula1>
    </dataValidation>
    <dataValidation type="list" allowBlank="1" showInputMessage="1" showErrorMessage="1" sqref="B21">
      <formula1>"NFPA 2001 (2004),NFPA 2001 (2012),ISO 14520"</formula1>
    </dataValidation>
  </dataValidations>
  <pageMargins left="0.7" right="0.7" top="0.75" bottom="0.75" header="0.3" footer="0.3"/>
  <pageSetup orientation="portrait" horizont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Imperial</vt:lpstr>
      <vt:lpstr>Metric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Denali Jones</dc:creator>
  <cp:lastModifiedBy>Stephen</cp:lastModifiedBy>
  <dcterms:created xsi:type="dcterms:W3CDTF">2012-03-13T23:53:59Z</dcterms:created>
  <dcterms:modified xsi:type="dcterms:W3CDTF">2017-10-02T23:27:09Z</dcterms:modified>
</cp:coreProperties>
</file>