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33BBC38B-C2DA-FC69-06AC-9F67D96B6324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Products\Software by Rt\Number of Fans &amp; Stack &amp; Bias Calculator\"/>
    </mc:Choice>
  </mc:AlternateContent>
  <bookViews>
    <workbookView xWindow="6510" yWindow="0" windowWidth="28800" windowHeight="13020"/>
  </bookViews>
  <sheets>
    <sheet name="Simulation" sheetId="3" r:id="rId1"/>
    <sheet name="Use this (2)" sheetId="2" state="veryHidden" r:id="rId2"/>
    <sheet name="Use this" sheetId="1" state="veryHidden" r:id="rId3"/>
  </sheets>
  <definedNames>
    <definedName name="solver_adj" localSheetId="0" hidden="1">Simulation!$AE$28</definedName>
    <definedName name="solver_adj" localSheetId="2" hidden="1">'Use this'!$G$20</definedName>
    <definedName name="solver_adj" localSheetId="1" hidden="1">'Use this (2)'!$G$20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ng" localSheetId="0" hidden="1">1</definedName>
    <definedName name="solver_eng" localSheetId="2" hidden="1">1</definedName>
    <definedName name="solver_eng" localSheetId="1" hidden="1">1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2147483647</definedName>
    <definedName name="solver_itr" localSheetId="2" hidden="1">2147483647</definedName>
    <definedName name="solver_itr" localSheetId="1" hidden="1">2147483647</definedName>
    <definedName name="solver_mip" localSheetId="0" hidden="1">2147483647</definedName>
    <definedName name="solver_mip" localSheetId="2" hidden="1">2147483647</definedName>
    <definedName name="solver_mip" localSheetId="1" hidden="1">2147483647</definedName>
    <definedName name="solver_mni" localSheetId="0" hidden="1">30</definedName>
    <definedName name="solver_mni" localSheetId="2" hidden="1">30</definedName>
    <definedName name="solver_mni" localSheetId="1" hidden="1">30</definedName>
    <definedName name="solver_mrt" localSheetId="0" hidden="1">0.075</definedName>
    <definedName name="solver_mrt" localSheetId="2" hidden="1">0.075</definedName>
    <definedName name="solver_mrt" localSheetId="1" hidden="1">0.075</definedName>
    <definedName name="solver_msl" localSheetId="0" hidden="1">2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od" localSheetId="0" hidden="1">2147483647</definedName>
    <definedName name="solver_nod" localSheetId="2" hidden="1">2147483647</definedName>
    <definedName name="solver_nod" localSheetId="1" hidden="1">2147483647</definedName>
    <definedName name="solver_num" localSheetId="0" hidden="1">0</definedName>
    <definedName name="solver_num" localSheetId="2" hidden="1">0</definedName>
    <definedName name="solver_num" localSheetId="1" hidden="1">0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Simulation!$AF$24</definedName>
    <definedName name="solver_opt" localSheetId="2" hidden="1">'Use this'!$H$16</definedName>
    <definedName name="solver_opt" localSheetId="1" hidden="1">'Use this (2)'!$H$16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rbv" localSheetId="0" hidden="1">1</definedName>
    <definedName name="solver_rbv" localSheetId="2" hidden="1">1</definedName>
    <definedName name="solver_rbv" localSheetId="1" hidden="1">1</definedName>
    <definedName name="solver_rlx" localSheetId="0" hidden="1">2</definedName>
    <definedName name="solver_rlx" localSheetId="2" hidden="1">2</definedName>
    <definedName name="solver_rlx" localSheetId="1" hidden="1">2</definedName>
    <definedName name="solver_rsd" localSheetId="0" hidden="1">0</definedName>
    <definedName name="solver_rsd" localSheetId="2" hidden="1">0</definedName>
    <definedName name="solver_rsd" localSheetId="1" hidden="1">0</definedName>
    <definedName name="solver_scl" localSheetId="0" hidden="1">1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sz" localSheetId="0" hidden="1">100</definedName>
    <definedName name="solver_ssz" localSheetId="2" hidden="1">100</definedName>
    <definedName name="solver_ssz" localSheetId="1" hidden="1">100</definedName>
    <definedName name="solver_tim" localSheetId="0" hidden="1">2147483647</definedName>
    <definedName name="solver_tim" localSheetId="2" hidden="1">2147483647</definedName>
    <definedName name="solver_tim" localSheetId="1" hidden="1">2147483647</definedName>
    <definedName name="solver_tol" localSheetId="0" hidden="1">0.01</definedName>
    <definedName name="solver_tol" localSheetId="2" hidden="1">0.01</definedName>
    <definedName name="solver_tol" localSheetId="1" hidden="1">0.01</definedName>
    <definedName name="solver_typ" localSheetId="0" hidden="1">3</definedName>
    <definedName name="solver_typ" localSheetId="2" hidden="1">3</definedName>
    <definedName name="solver_typ" localSheetId="1" hidden="1">3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2" hidden="1">3</definedName>
    <definedName name="solver_ver" localSheetId="1" hidden="1">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2" i="3" l="1"/>
  <c r="N22" i="3"/>
  <c r="O46" i="3"/>
  <c r="W32" i="3"/>
  <c r="AG15" i="3"/>
  <c r="AI11" i="3" l="1"/>
  <c r="Z12" i="3"/>
  <c r="AA12" i="3"/>
  <c r="AB12" i="3"/>
  <c r="AC12" i="3"/>
  <c r="AE12" i="3"/>
  <c r="AH12" i="3"/>
  <c r="AH14" i="3" s="1"/>
  <c r="AB14" i="3"/>
  <c r="AC14" i="3"/>
  <c r="AF14" i="3"/>
  <c r="AE24" i="3"/>
  <c r="Z29" i="3"/>
  <c r="AA29" i="3"/>
  <c r="AE35" i="3"/>
  <c r="AE40" i="3" s="1"/>
  <c r="Z37" i="3"/>
  <c r="AA41" i="3"/>
  <c r="AG14" i="3" l="1"/>
  <c r="AI14" i="3" s="1"/>
  <c r="AJ14" i="3" s="1"/>
  <c r="AB41" i="3" s="1"/>
  <c r="AG12" i="3"/>
  <c r="AI12" i="3" s="1"/>
  <c r="AJ12" i="3" s="1"/>
  <c r="AE29" i="3"/>
  <c r="AE43" i="3"/>
  <c r="AQ42" i="3"/>
  <c r="AQ31" i="3"/>
  <c r="R8" i="3"/>
  <c r="AJ13" i="3" l="1"/>
  <c r="AB25" i="3" s="1"/>
  <c r="AB29" i="3"/>
  <c r="AC29" i="3" s="1"/>
  <c r="AI29" i="3"/>
  <c r="AI32" i="3" s="1"/>
  <c r="AI35" i="3"/>
  <c r="AI24" i="3"/>
  <c r="AC41" i="3"/>
  <c r="AF40" i="3"/>
  <c r="AE32" i="3"/>
  <c r="C33" i="2"/>
  <c r="AB36" i="3" l="1"/>
  <c r="Z36" i="3" s="1"/>
  <c r="AC36" i="3" s="1"/>
  <c r="AF29" i="3"/>
  <c r="Z25" i="3"/>
  <c r="AI41" i="3"/>
  <c r="AI43" i="3"/>
  <c r="AJ29" i="3"/>
  <c r="AM45" i="3"/>
  <c r="G32" i="1"/>
  <c r="B29" i="2"/>
  <c r="G27" i="2"/>
  <c r="S34" i="2" s="1"/>
  <c r="S23" i="2"/>
  <c r="G21" i="2"/>
  <c r="C21" i="2"/>
  <c r="K16" i="2"/>
  <c r="K27" i="2" s="1"/>
  <c r="I7" i="2"/>
  <c r="I9" i="2" s="1"/>
  <c r="L9" i="2" s="1"/>
  <c r="J6" i="2"/>
  <c r="H6" i="2"/>
  <c r="E6" i="2"/>
  <c r="G4" i="2"/>
  <c r="E4" i="2"/>
  <c r="S23" i="1"/>
  <c r="J6" i="1"/>
  <c r="B29" i="1"/>
  <c r="C33" i="1"/>
  <c r="E4" i="1"/>
  <c r="G4" i="1"/>
  <c r="E6" i="1"/>
  <c r="H6" i="1"/>
  <c r="I7" i="1"/>
  <c r="I9" i="1" s="1"/>
  <c r="L9" i="1" s="1"/>
  <c r="D31" i="1" s="1"/>
  <c r="K16" i="1"/>
  <c r="K21" i="1" s="1"/>
  <c r="K24" i="1" s="1"/>
  <c r="C21" i="1"/>
  <c r="G21" i="1"/>
  <c r="G24" i="1" s="1"/>
  <c r="G27" i="1"/>
  <c r="S34" i="1" s="1"/>
  <c r="AC25" i="3" l="1"/>
  <c r="AJ41" i="3"/>
  <c r="I6" i="2"/>
  <c r="G32" i="2"/>
  <c r="I4" i="2"/>
  <c r="K4" i="2" s="1"/>
  <c r="L4" i="2" s="1"/>
  <c r="D20" i="2"/>
  <c r="D31" i="2"/>
  <c r="K33" i="2"/>
  <c r="K35" i="2"/>
  <c r="K6" i="2"/>
  <c r="L6" i="2" s="1"/>
  <c r="D33" i="2" s="1"/>
  <c r="G24" i="2"/>
  <c r="K21" i="2"/>
  <c r="I4" i="1"/>
  <c r="K4" i="1" s="1"/>
  <c r="L4" i="1" s="1"/>
  <c r="K27" i="1"/>
  <c r="K32" i="1" s="1"/>
  <c r="I6" i="1"/>
  <c r="K6" i="1" s="1"/>
  <c r="L6" i="1" s="1"/>
  <c r="G35" i="1"/>
  <c r="D20" i="1"/>
  <c r="G35" i="2" l="1"/>
  <c r="H32" i="2"/>
  <c r="D21" i="2"/>
  <c r="L21" i="2" s="1"/>
  <c r="L33" i="2"/>
  <c r="K24" i="2"/>
  <c r="O37" i="2"/>
  <c r="L5" i="2"/>
  <c r="O37" i="1"/>
  <c r="D21" i="1"/>
  <c r="D33" i="1"/>
  <c r="K35" i="1"/>
  <c r="E33" i="1"/>
  <c r="L21" i="1"/>
  <c r="L5" i="1"/>
  <c r="E33" i="2" l="1"/>
  <c r="E21" i="2"/>
  <c r="H21" i="2"/>
  <c r="D17" i="2"/>
  <c r="B17" i="2" s="1"/>
  <c r="D28" i="2"/>
  <c r="B28" i="2" s="1"/>
  <c r="G31" i="2" s="1"/>
  <c r="G28" i="2" s="1"/>
  <c r="D17" i="1"/>
  <c r="B17" i="1" s="1"/>
  <c r="G20" i="1" s="1"/>
  <c r="H20" i="1" s="1"/>
  <c r="D28" i="1"/>
  <c r="B28" i="1" s="1"/>
  <c r="E28" i="1" s="1"/>
  <c r="L32" i="1"/>
  <c r="E21" i="1"/>
  <c r="H21" i="1"/>
  <c r="H32" i="1"/>
  <c r="H28" i="2" l="1"/>
  <c r="H34" i="2" s="1"/>
  <c r="G29" i="2"/>
  <c r="G30" i="2" s="1"/>
  <c r="H31" i="2"/>
  <c r="E17" i="2"/>
  <c r="G20" i="2"/>
  <c r="K20" i="2"/>
  <c r="K17" i="2" s="1"/>
  <c r="L17" i="2" s="1"/>
  <c r="L23" i="2" s="1"/>
  <c r="E28" i="2"/>
  <c r="K31" i="2"/>
  <c r="K28" i="2" s="1"/>
  <c r="L28" i="2" s="1"/>
  <c r="L34" i="2" s="1"/>
  <c r="K31" i="1"/>
  <c r="K28" i="1" s="1"/>
  <c r="L28" i="1" s="1"/>
  <c r="L34" i="1" s="1"/>
  <c r="E17" i="1"/>
  <c r="G18" i="1"/>
  <c r="G19" i="1" s="1"/>
  <c r="K20" i="1"/>
  <c r="K17" i="1" s="1"/>
  <c r="L17" i="1" s="1"/>
  <c r="L23" i="1" s="1"/>
  <c r="G17" i="1"/>
  <c r="H17" i="1" s="1"/>
  <c r="H23" i="1" s="1"/>
  <c r="G31" i="1"/>
  <c r="G29" i="1" s="1"/>
  <c r="I35" i="1" l="1"/>
  <c r="G34" i="1"/>
  <c r="G30" i="1"/>
  <c r="G34" i="2"/>
  <c r="I35" i="2" s="1"/>
  <c r="H20" i="2"/>
  <c r="G17" i="2"/>
  <c r="H17" i="2" s="1"/>
  <c r="G18" i="2"/>
  <c r="G19" i="2" s="1"/>
  <c r="L31" i="2"/>
  <c r="K29" i="2"/>
  <c r="L20" i="2"/>
  <c r="K18" i="2"/>
  <c r="G23" i="1"/>
  <c r="I24" i="1" s="1"/>
  <c r="K29" i="1"/>
  <c r="L31" i="1"/>
  <c r="K18" i="1"/>
  <c r="K23" i="1" s="1"/>
  <c r="M24" i="1" s="1"/>
  <c r="L20" i="1"/>
  <c r="H16" i="1"/>
  <c r="H31" i="1"/>
  <c r="G28" i="1"/>
  <c r="H28" i="1" s="1"/>
  <c r="H34" i="1" s="1"/>
  <c r="I30" i="1"/>
  <c r="H35" i="1" l="1"/>
  <c r="H36" i="1" s="1"/>
  <c r="K30" i="1"/>
  <c r="K34" i="1"/>
  <c r="L35" i="1" s="1"/>
  <c r="L36" i="1" s="1"/>
  <c r="H35" i="2"/>
  <c r="I30" i="2"/>
  <c r="K34" i="2"/>
  <c r="L35" i="2" s="1"/>
  <c r="L36" i="2" s="1"/>
  <c r="M29" i="2"/>
  <c r="M33" i="2"/>
  <c r="G23" i="2"/>
  <c r="I24" i="2" s="1"/>
  <c r="K19" i="2"/>
  <c r="K23" i="2"/>
  <c r="H16" i="2"/>
  <c r="H23" i="2"/>
  <c r="H24" i="1"/>
  <c r="H25" i="1" s="1"/>
  <c r="I19" i="1"/>
  <c r="L24" i="1"/>
  <c r="K19" i="1"/>
  <c r="M33" i="1"/>
  <c r="M30" i="1"/>
  <c r="O35" i="1" l="1"/>
  <c r="O36" i="1" s="1"/>
  <c r="O34" i="1"/>
  <c r="M19" i="2"/>
  <c r="H36" i="2"/>
  <c r="O34" i="2"/>
  <c r="O35" i="2"/>
  <c r="O36" i="2" s="1"/>
  <c r="H24" i="2"/>
  <c r="M24" i="2"/>
  <c r="L24" i="2"/>
  <c r="L25" i="2" s="1"/>
  <c r="I19" i="2"/>
  <c r="O23" i="1"/>
  <c r="L25" i="1"/>
  <c r="O24" i="1"/>
  <c r="O25" i="1" s="1"/>
  <c r="M19" i="1"/>
  <c r="O24" i="2" l="1"/>
  <c r="O25" i="2" s="1"/>
  <c r="H25" i="2"/>
  <c r="O23" i="2"/>
  <c r="AG17" i="3" l="1"/>
  <c r="AJ17" i="3" s="1"/>
  <c r="AB39" i="3" l="1"/>
  <c r="AI39" i="3" s="1"/>
  <c r="AB28" i="3"/>
  <c r="AE39" i="3" l="1"/>
  <c r="AE36" i="3" s="1"/>
  <c r="AF36" i="3" s="1"/>
  <c r="AF42" i="3" s="1"/>
  <c r="AI28" i="3"/>
  <c r="AE28" i="3"/>
  <c r="AI36" i="3"/>
  <c r="AJ36" i="3" s="1"/>
  <c r="AJ42" i="3" s="1"/>
  <c r="AI37" i="3"/>
  <c r="AJ39" i="3"/>
  <c r="AE37" i="3" l="1"/>
  <c r="AE38" i="3" s="1"/>
  <c r="AF39" i="3"/>
  <c r="AE26" i="3"/>
  <c r="AE27" i="3" s="1"/>
  <c r="AF28" i="3"/>
  <c r="AE25" i="3"/>
  <c r="AF25" i="3" s="1"/>
  <c r="AI25" i="3"/>
  <c r="AJ25" i="3" s="1"/>
  <c r="AJ31" i="3" s="1"/>
  <c r="AJ28" i="3"/>
  <c r="AI26" i="3"/>
  <c r="AE42" i="3"/>
  <c r="AG43" i="3" s="1"/>
  <c r="AI42" i="3"/>
  <c r="AJ43" i="3" s="1"/>
  <c r="AJ44" i="3" s="1"/>
  <c r="AK37" i="3"/>
  <c r="AK41" i="3"/>
  <c r="AI31" i="3" l="1"/>
  <c r="AK32" i="3" s="1"/>
  <c r="R50" i="3" s="1"/>
  <c r="AI27" i="3"/>
  <c r="AF24" i="3"/>
  <c r="AF31" i="3"/>
  <c r="AG38" i="3"/>
  <c r="AE31" i="3"/>
  <c r="AG32" i="3" s="1"/>
  <c r="F50" i="3" s="1"/>
  <c r="AF43" i="3"/>
  <c r="AK27" i="3" l="1"/>
  <c r="AG27" i="3"/>
  <c r="AF32" i="3"/>
  <c r="AF33" i="3" s="1"/>
  <c r="AJ32" i="3"/>
  <c r="AJ33" i="3" s="1"/>
  <c r="AM43" i="3"/>
  <c r="AM44" i="3" s="1"/>
  <c r="AM42" i="3"/>
  <c r="AF44" i="3"/>
  <c r="AM31" i="3" l="1"/>
  <c r="AM32" i="3"/>
  <c r="AM33" i="3" s="1"/>
</calcChain>
</file>

<file path=xl/comments1.xml><?xml version="1.0" encoding="utf-8"?>
<comments xmlns="http://schemas.openxmlformats.org/spreadsheetml/2006/main">
  <authors>
    <author>Colin Genge</author>
    <author>Stephen Wong</author>
  </authors>
  <commentList>
    <comment ref="AD15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How many doorways lead from bottom floor with Test Fans to upper portion of building</t>
        </r>
      </text>
    </comment>
    <comment ref="AG15" authorId="1" shapeId="0">
      <text>
        <r>
          <rPr>
            <b/>
            <sz val="9"/>
            <color indexed="81"/>
            <rFont val="Tahoma"/>
            <family val="2"/>
          </rPr>
          <t>Stephen Wong:</t>
        </r>
        <r>
          <rPr>
            <sz val="9"/>
            <color indexed="81"/>
            <rFont val="Tahoma"/>
            <family val="2"/>
          </rPr>
          <t xml:space="preserve">
Sum of w + h + # of doors
But for simulation, this will be an input</t>
        </r>
      </text>
    </comment>
    <comment ref="AD31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  <comment ref="AG32" authorId="1" shapeId="0">
      <text>
        <r>
          <rPr>
            <b/>
            <sz val="9"/>
            <color indexed="81"/>
            <rFont val="Tahoma"/>
            <family val="2"/>
          </rPr>
          <t>Stephen Wong:</t>
        </r>
        <r>
          <rPr>
            <sz val="9"/>
            <color indexed="81"/>
            <rFont val="Tahoma"/>
            <family val="2"/>
          </rPr>
          <t xml:space="preserve">
USACE:
Pressures in the extremeties cannot be greater than 10% from average induced envelope pressure</t>
        </r>
      </text>
    </comment>
    <comment ref="AF33" authorId="1" shapeId="0">
      <text>
        <r>
          <rPr>
            <b/>
            <sz val="9"/>
            <color indexed="81"/>
            <rFont val="Tahoma"/>
            <family val="2"/>
          </rPr>
          <t>Stephen Wong:</t>
        </r>
        <r>
          <rPr>
            <sz val="9"/>
            <color indexed="81"/>
            <rFont val="Tahoma"/>
            <family val="2"/>
          </rPr>
          <t xml:space="preserve">
Error as a result of stack and constriction (when compared to no stack and no constriction)</t>
        </r>
      </text>
    </comment>
    <comment ref="AD42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</commentList>
</comments>
</file>

<file path=xl/comments2.xml><?xml version="1.0" encoding="utf-8"?>
<comments xmlns="http://schemas.openxmlformats.org/spreadsheetml/2006/main">
  <authors>
    <author>Colin Genge</author>
    <author>Stephen Wong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How many doorways lead from bottom floor with Test Fans to upper portion of building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</rPr>
          <t>Stephen Wong:</t>
        </r>
        <r>
          <rPr>
            <sz val="9"/>
            <color indexed="81"/>
            <rFont val="Tahoma"/>
            <family val="2"/>
          </rPr>
          <t xml:space="preserve">
Area of pinch point from 1st floor to Upper Floors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</commentList>
</comments>
</file>

<file path=xl/comments3.xml><?xml version="1.0" encoding="utf-8"?>
<comments xmlns="http://schemas.openxmlformats.org/spreadsheetml/2006/main">
  <authors>
    <author>Colin Genge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How many doorways lead from bottom floor with Test Fans to upper portion of building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Colin Genge:</t>
        </r>
        <r>
          <rPr>
            <sz val="9"/>
            <color indexed="81"/>
            <rFont val="Tahoma"/>
            <family val="2"/>
          </rPr>
          <t xml:space="preserve">
Average pressure, total Test Fan flow to outdoors</t>
        </r>
      </text>
    </comment>
  </commentList>
</comments>
</file>

<file path=xl/sharedStrings.xml><?xml version="1.0" encoding="utf-8"?>
<sst xmlns="http://schemas.openxmlformats.org/spreadsheetml/2006/main" count="253" uniqueCount="68">
  <si>
    <t>CFM</t>
  </si>
  <si>
    <t>Error from True</t>
  </si>
  <si>
    <t>Average</t>
  </si>
  <si>
    <t>Total</t>
  </si>
  <si>
    <t>Bottom to Top doorways</t>
  </si>
  <si>
    <t>Test pressure Target</t>
  </si>
  <si>
    <t>on gauge</t>
  </si>
  <si>
    <t>Flow</t>
  </si>
  <si>
    <t>C</t>
  </si>
  <si>
    <t>n</t>
  </si>
  <si>
    <t>% P difference</t>
  </si>
  <si>
    <t>Pressure</t>
  </si>
  <si>
    <t>Stack</t>
  </si>
  <si>
    <t>Bldg leakage</t>
  </si>
  <si>
    <t>from avg</t>
  </si>
  <si>
    <t>bottom floor with fans</t>
  </si>
  <si>
    <t>top above fan floor</t>
  </si>
  <si>
    <t>whole building</t>
  </si>
  <si>
    <t>sq. ft.</t>
  </si>
  <si>
    <t>#</t>
  </si>
  <si>
    <t>ht</t>
  </si>
  <si>
    <t>depth</t>
  </si>
  <si>
    <t>width</t>
  </si>
  <si>
    <t xml:space="preserve">CFM at </t>
  </si>
  <si>
    <t>CFM/</t>
  </si>
  <si>
    <t>Total area</t>
  </si>
  <si>
    <t>bottom</t>
  </si>
  <si>
    <t>top + bottom</t>
  </si>
  <si>
    <t>walls</t>
  </si>
  <si>
    <t>Depress</t>
  </si>
  <si>
    <t>Press</t>
  </si>
  <si>
    <t>Enter values into dark colors only:</t>
  </si>
  <si>
    <t>0 Stack</t>
  </si>
  <si>
    <r>
      <t>Before</t>
    </r>
    <r>
      <rPr>
        <sz val="11"/>
        <color theme="1"/>
        <rFont val="Calibri"/>
        <family val="2"/>
        <scheme val="minor"/>
      </rPr>
      <t xml:space="preserve"> Blower Door</t>
    </r>
  </si>
  <si>
    <r>
      <rPr>
        <sz val="11"/>
        <color theme="1"/>
        <rFont val="Calibri"/>
        <family val="2"/>
        <scheme val="minor"/>
      </rPr>
      <t>Blower Door results</t>
    </r>
    <r>
      <rPr>
        <b/>
        <sz val="11"/>
        <color theme="1"/>
        <rFont val="Calibri"/>
        <family val="2"/>
        <scheme val="minor"/>
      </rPr>
      <t xml:space="preserve"> with Stack and interior Pressure Differences</t>
    </r>
  </si>
  <si>
    <t>Stack at bottom</t>
  </si>
  <si>
    <t>+ other pathways, chases, shafts, leaks</t>
  </si>
  <si>
    <t>Stack at top</t>
  </si>
  <si>
    <t>Top less Bias</t>
  </si>
  <si>
    <t>Bottom less Bias</t>
  </si>
  <si>
    <t>Test Point at Avg Pressure</t>
  </si>
  <si>
    <t>Gauge, Top ref'd to bottom</t>
  </si>
  <si>
    <t>Gauge, Bottom to outdoors</t>
  </si>
  <si>
    <t>+ Pressurize</t>
  </si>
  <si>
    <t>- Depressurize</t>
  </si>
  <si>
    <t>Maximum</t>
  </si>
  <si>
    <t>CFM Test fan flow to achieve</t>
  </si>
  <si>
    <t>Pa</t>
  </si>
  <si>
    <t>error when test both directions</t>
  </si>
  <si>
    <t>Gauge across doorways</t>
  </si>
  <si>
    <t>Gauge,Top to outdoors</t>
  </si>
  <si>
    <t xml:space="preserve"> with Stack </t>
  </si>
  <si>
    <t>Stack is ZERO</t>
  </si>
  <si>
    <t>will be set as Bias (Baseline in the software)</t>
  </si>
  <si>
    <t>Gauge, Top to outdoors</t>
  </si>
  <si>
    <t># doors</t>
  </si>
  <si>
    <t>Assumed that all stack is dropped across this hole which is not true but simple enough to allow a calculation.</t>
  </si>
  <si>
    <r>
      <t>Pre test with</t>
    </r>
    <r>
      <rPr>
        <sz val="11"/>
        <color theme="1"/>
        <rFont val="Calibri"/>
        <family val="2"/>
        <scheme val="minor"/>
      </rPr>
      <t xml:space="preserve"> Fans covered</t>
    </r>
  </si>
  <si>
    <t>Enter values into Green boxes only:</t>
  </si>
  <si>
    <t>Pressurization Target</t>
  </si>
  <si>
    <t>Depressurization Target</t>
  </si>
  <si>
    <t>Interior pressure difference:</t>
  </si>
  <si>
    <r>
      <t xml:space="preserve">Stack Pressure </t>
    </r>
    <r>
      <rPr>
        <sz val="11"/>
        <color theme="0" tint="-0.249977111117893"/>
        <rFont val="Calibri"/>
        <family val="2"/>
        <scheme val="minor"/>
      </rPr>
      <t>at 1st floor</t>
    </r>
  </si>
  <si>
    <r>
      <t xml:space="preserve">Area of pinch point </t>
    </r>
    <r>
      <rPr>
        <sz val="11"/>
        <color theme="0" tint="-0.249977111117893"/>
        <rFont val="Calibri"/>
        <family val="2"/>
        <scheme val="minor"/>
      </rPr>
      <t>from 1st floor to upper floors</t>
    </r>
  </si>
  <si>
    <r>
      <t xml:space="preserve">Leakage </t>
    </r>
    <r>
      <rPr>
        <sz val="11"/>
        <color theme="0" tint="-0.249977111117893"/>
        <rFont val="Calibri"/>
        <family val="2"/>
        <scheme val="minor"/>
      </rPr>
      <t>of building</t>
    </r>
  </si>
  <si>
    <r>
      <t xml:space="preserve">If </t>
    </r>
    <r>
      <rPr>
        <b/>
        <sz val="10"/>
        <rFont val="Calibri"/>
        <family val="2"/>
        <scheme val="minor"/>
      </rPr>
      <t>Stack Pressure</t>
    </r>
    <r>
      <rPr>
        <sz val="10"/>
        <rFont val="Calibri"/>
        <family val="2"/>
        <scheme val="minor"/>
      </rPr>
      <t xml:space="preserve"> is estimated/measured, this simulation can be used to estimate: 
1. How large of an opening (leakage area) from the first floor will ensure </t>
    </r>
    <r>
      <rPr>
        <b/>
        <sz val="10"/>
        <rFont val="Calibri"/>
        <family val="2"/>
        <scheme val="minor"/>
      </rPr>
      <t>interior pressure difference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is less than 10%</t>
    </r>
    <r>
      <rPr>
        <sz val="10"/>
        <rFont val="Calibri"/>
        <family val="2"/>
        <scheme val="minor"/>
      </rPr>
      <t xml:space="preserve"> (required by the USACE standard)
2. The </t>
    </r>
    <r>
      <rPr>
        <b/>
        <sz val="10"/>
        <rFont val="Calibri"/>
        <family val="2"/>
        <scheme val="minor"/>
      </rPr>
      <t>fan flow required</t>
    </r>
    <r>
      <rPr>
        <sz val="10"/>
        <rFont val="Calibri"/>
        <family val="2"/>
        <scheme val="minor"/>
      </rPr>
      <t xml:space="preserve">
3. The error of this flow estimation if there is no stack pressure and no interior constriction</t>
    </r>
  </si>
  <si>
    <t>*Dimensions are not shown to scale</t>
  </si>
  <si>
    <t>Enter values into Green boxes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</si>
</sst>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_);_(* \(#,##0\);_(* &quot;-&quot;?_);_(@_)"/>
    <numFmt numFmtId="165" formatCode="0.0%"/>
    <numFmt numFmtId="166" formatCode="_(* #,##0_);_(* \(#,##0\);_(* &quot;-&quot;??_);_(@_)"/>
    <numFmt numFmtId="167" formatCode="0.0"/>
    <numFmt numFmtId="168" formatCode="0\ &quot;ft&quot;\ "/>
    <numFmt numFmtId="169" formatCode="0\ &quot;Pa&quot;"/>
    <numFmt numFmtId="170" formatCode="0.00\ &quot;CFM/sq ft&quot;"/>
    <numFmt numFmtId="171" formatCode="#,##0\ &quot;CFM&quot;"/>
    <numFmt numFmtId="172" formatCode="##,##0\ &quot;CFM&quot;"/>
    <numFmt numFmtId="173" formatCode="0\ &quot;sq ft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164" fontId="0" fillId="0" borderId="0" xfId="0" applyNumberFormat="1"/>
    <xf numFmtId="0" fontId="0" fillId="0" borderId="0" xfId="0" applyFill="1"/>
    <xf numFmtId="10" fontId="0" fillId="0" borderId="0" xfId="2" applyNumberFormat="1" applyFont="1"/>
    <xf numFmtId="165" fontId="0" fillId="0" borderId="0" xfId="2" applyNumberFormat="1" applyFont="1"/>
    <xf numFmtId="0" fontId="0" fillId="0" borderId="0" xfId="0" applyAlignment="1"/>
    <xf numFmtId="0" fontId="0" fillId="0" borderId="0" xfId="0" applyFill="1" applyBorder="1"/>
    <xf numFmtId="0" fontId="0" fillId="2" borderId="0" xfId="0" applyFill="1"/>
    <xf numFmtId="166" fontId="4" fillId="0" borderId="0" xfId="0" applyNumberFormat="1" applyFont="1" applyFill="1"/>
    <xf numFmtId="0" fontId="4" fillId="0" borderId="0" xfId="0" applyFont="1" applyFill="1"/>
    <xf numFmtId="166" fontId="0" fillId="0" borderId="0" xfId="0" applyNumberFormat="1" applyFill="1"/>
    <xf numFmtId="0" fontId="0" fillId="2" borderId="1" xfId="0" applyFill="1" applyBorder="1" applyAlignment="1"/>
    <xf numFmtId="166" fontId="0" fillId="2" borderId="2" xfId="0" applyNumberFormat="1" applyFill="1" applyBorder="1"/>
    <xf numFmtId="167" fontId="0" fillId="2" borderId="3" xfId="0" applyNumberFormat="1" applyFill="1" applyBorder="1" applyAlignment="1">
      <alignment horizontal="center"/>
    </xf>
    <xf numFmtId="166" fontId="0" fillId="3" borderId="2" xfId="1" applyNumberFormat="1" applyFont="1" applyFill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0" fontId="0" fillId="2" borderId="4" xfId="0" applyFill="1" applyBorder="1" applyAlignment="1"/>
    <xf numFmtId="166" fontId="0" fillId="2" borderId="0" xfId="1" applyNumberFormat="1" applyFont="1" applyFill="1" applyBorder="1" applyAlignment="1"/>
    <xf numFmtId="167" fontId="0" fillId="2" borderId="5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7" fontId="0" fillId="3" borderId="5" xfId="0" applyNumberFormat="1" applyFill="1" applyBorder="1" applyAlignment="1">
      <alignment horizontal="center"/>
    </xf>
    <xf numFmtId="2" fontId="4" fillId="0" borderId="0" xfId="0" applyNumberFormat="1" applyFont="1" applyFill="1"/>
    <xf numFmtId="165" fontId="0" fillId="2" borderId="4" xfId="2" applyNumberFormat="1" applyFont="1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/>
    </xf>
    <xf numFmtId="1" fontId="5" fillId="4" borderId="2" xfId="0" applyNumberFormat="1" applyFont="1" applyFill="1" applyBorder="1"/>
    <xf numFmtId="2" fontId="5" fillId="4" borderId="2" xfId="0" applyNumberFormat="1" applyFont="1" applyFill="1" applyBorder="1"/>
    <xf numFmtId="166" fontId="4" fillId="0" borderId="0" xfId="1" applyNumberFormat="1" applyFont="1" applyFill="1"/>
    <xf numFmtId="167" fontId="4" fillId="0" borderId="0" xfId="0" applyNumberFormat="1" applyFont="1" applyFill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/>
    <xf numFmtId="0" fontId="0" fillId="2" borderId="5" xfId="0" applyFill="1" applyBorder="1" applyAlignment="1">
      <alignment horizontal="center"/>
    </xf>
    <xf numFmtId="1" fontId="5" fillId="4" borderId="0" xfId="0" applyNumberFormat="1" applyFont="1" applyFill="1" applyBorder="1"/>
    <xf numFmtId="1" fontId="0" fillId="2" borderId="0" xfId="0" applyNumberFormat="1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3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Fill="1"/>
    <xf numFmtId="1" fontId="0" fillId="3" borderId="4" xfId="0" applyNumberForma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0" fontId="0" fillId="0" borderId="0" xfId="0" quotePrefix="1"/>
    <xf numFmtId="2" fontId="0" fillId="0" borderId="0" xfId="0" applyNumberFormat="1"/>
    <xf numFmtId="166" fontId="5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8" fillId="0" borderId="0" xfId="1" applyNumberFormat="1" applyFont="1" applyAlignment="1">
      <alignment horizontal="center"/>
    </xf>
    <xf numFmtId="166" fontId="0" fillId="0" borderId="0" xfId="0" applyNumberFormat="1" applyAlignment="1"/>
    <xf numFmtId="166" fontId="8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0" fillId="0" borderId="0" xfId="1" applyNumberFormat="1" applyFont="1" applyFill="1"/>
    <xf numFmtId="167" fontId="0" fillId="0" borderId="0" xfId="0" applyNumberFormat="1" applyFill="1"/>
    <xf numFmtId="0" fontId="2" fillId="9" borderId="11" xfId="0" applyFont="1" applyFill="1" applyBorder="1"/>
    <xf numFmtId="0" fontId="0" fillId="9" borderId="11" xfId="0" applyFill="1" applyBorder="1"/>
    <xf numFmtId="0" fontId="0" fillId="9" borderId="1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/>
    <xf numFmtId="0" fontId="7" fillId="7" borderId="9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0" fillId="9" borderId="7" xfId="0" applyFill="1" applyBorder="1"/>
    <xf numFmtId="0" fontId="7" fillId="6" borderId="14" xfId="0" applyFont="1" applyFill="1" applyBorder="1" applyAlignment="1">
      <alignment horizontal="center"/>
    </xf>
    <xf numFmtId="0" fontId="7" fillId="7" borderId="13" xfId="0" quotePrefix="1" applyFont="1" applyFill="1" applyBorder="1" applyAlignment="1">
      <alignment horizontal="center"/>
    </xf>
    <xf numFmtId="0" fontId="7" fillId="6" borderId="13" xfId="0" quotePrefix="1" applyFont="1" applyFill="1" applyBorder="1" applyAlignment="1">
      <alignment horizontal="center"/>
    </xf>
    <xf numFmtId="0" fontId="0" fillId="3" borderId="8" xfId="0" applyFill="1" applyBorder="1"/>
    <xf numFmtId="0" fontId="2" fillId="3" borderId="11" xfId="0" quotePrefix="1" applyFont="1" applyFill="1" applyBorder="1"/>
    <xf numFmtId="0" fontId="0" fillId="3" borderId="11" xfId="0" applyFill="1" applyBorder="1"/>
    <xf numFmtId="0" fontId="0" fillId="3" borderId="7" xfId="0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0" borderId="8" xfId="0" applyFill="1" applyBorder="1"/>
    <xf numFmtId="0" fontId="2" fillId="0" borderId="11" xfId="0" applyFont="1" applyFill="1" applyBorder="1"/>
    <xf numFmtId="0" fontId="0" fillId="0" borderId="11" xfId="0" applyFill="1" applyBorder="1"/>
    <xf numFmtId="0" fontId="0" fillId="0" borderId="7" xfId="0" applyFill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2" fillId="10" borderId="10" xfId="0" applyFont="1" applyFill="1" applyBorder="1"/>
    <xf numFmtId="0" fontId="2" fillId="10" borderId="11" xfId="0" applyFont="1" applyFill="1" applyBorder="1"/>
    <xf numFmtId="0" fontId="2" fillId="10" borderId="12" xfId="0" applyFont="1" applyFill="1" applyBorder="1"/>
    <xf numFmtId="166" fontId="7" fillId="5" borderId="9" xfId="1" applyNumberFormat="1" applyFont="1" applyFill="1" applyBorder="1"/>
    <xf numFmtId="0" fontId="7" fillId="7" borderId="9" xfId="0" applyFont="1" applyFill="1" applyBorder="1"/>
    <xf numFmtId="0" fontId="7" fillId="8" borderId="9" xfId="0" applyFont="1" applyFill="1" applyBorder="1"/>
    <xf numFmtId="166" fontId="7" fillId="5" borderId="10" xfId="1" applyNumberFormat="1" applyFont="1" applyFill="1" applyBorder="1"/>
    <xf numFmtId="166" fontId="7" fillId="5" borderId="9" xfId="1" applyNumberFormat="1" applyFont="1" applyFill="1" applyBorder="1" applyAlignment="1"/>
    <xf numFmtId="166" fontId="7" fillId="5" borderId="14" xfId="1" applyNumberFormat="1" applyFont="1" applyFill="1" applyBorder="1" applyAlignment="1"/>
    <xf numFmtId="2" fontId="7" fillId="5" borderId="9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7" xfId="0" applyFont="1" applyFill="1" applyBorder="1"/>
    <xf numFmtId="0" fontId="3" fillId="11" borderId="6" xfId="0" applyFont="1" applyFill="1" applyBorder="1"/>
    <xf numFmtId="167" fontId="3" fillId="11" borderId="5" xfId="0" applyNumberFormat="1" applyFont="1" applyFill="1" applyBorder="1" applyAlignment="1">
      <alignment horizontal="center"/>
    </xf>
    <xf numFmtId="2" fontId="3" fillId="11" borderId="0" xfId="0" applyNumberFormat="1" applyFont="1" applyFill="1" applyBorder="1"/>
    <xf numFmtId="1" fontId="3" fillId="11" borderId="0" xfId="0" applyNumberFormat="1" applyFont="1" applyFill="1" applyBorder="1"/>
    <xf numFmtId="1" fontId="3" fillId="11" borderId="4" xfId="0" applyNumberFormat="1" applyFont="1" applyFill="1" applyBorder="1"/>
    <xf numFmtId="0" fontId="3" fillId="11" borderId="0" xfId="0" applyFont="1" applyFill="1" applyBorder="1"/>
    <xf numFmtId="0" fontId="3" fillId="11" borderId="4" xfId="0" applyFont="1" applyFill="1" applyBorder="1"/>
    <xf numFmtId="0" fontId="3" fillId="11" borderId="5" xfId="0" applyFont="1" applyFill="1" applyBorder="1" applyAlignment="1">
      <alignment horizontal="center"/>
    </xf>
    <xf numFmtId="167" fontId="3" fillId="11" borderId="0" xfId="0" applyNumberFormat="1" applyFont="1" applyFill="1" applyBorder="1"/>
    <xf numFmtId="2" fontId="3" fillId="11" borderId="3" xfId="0" applyNumberFormat="1" applyFont="1" applyFill="1" applyBorder="1" applyAlignment="1">
      <alignment horizontal="center"/>
    </xf>
    <xf numFmtId="2" fontId="3" fillId="11" borderId="2" xfId="0" applyNumberFormat="1" applyFont="1" applyFill="1" applyBorder="1"/>
    <xf numFmtId="1" fontId="3" fillId="11" borderId="2" xfId="0" applyNumberFormat="1" applyFont="1" applyFill="1" applyBorder="1"/>
    <xf numFmtId="1" fontId="3" fillId="11" borderId="1" xfId="0" applyNumberFormat="1" applyFont="1" applyFill="1" applyBorder="1"/>
    <xf numFmtId="1" fontId="7" fillId="5" borderId="9" xfId="0" applyNumberFormat="1" applyFont="1" applyFill="1" applyBorder="1" applyAlignment="1">
      <alignment horizontal="center"/>
    </xf>
    <xf numFmtId="1" fontId="5" fillId="4" borderId="5" xfId="0" applyNumberFormat="1" applyFont="1" applyFill="1" applyBorder="1"/>
    <xf numFmtId="1" fontId="5" fillId="4" borderId="4" xfId="0" applyNumberFormat="1" applyFont="1" applyFill="1" applyBorder="1"/>
    <xf numFmtId="1" fontId="5" fillId="4" borderId="1" xfId="0" applyNumberFormat="1" applyFont="1" applyFill="1" applyBorder="1"/>
    <xf numFmtId="43" fontId="0" fillId="0" borderId="0" xfId="0" applyNumberFormat="1" applyAlignment="1"/>
    <xf numFmtId="2" fontId="0" fillId="0" borderId="0" xfId="0" applyNumberFormat="1" applyFill="1"/>
    <xf numFmtId="2" fontId="0" fillId="3" borderId="5" xfId="0" applyNumberForma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6" fontId="5" fillId="3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67" fontId="6" fillId="2" borderId="5" xfId="0" applyNumberFormat="1" applyFont="1" applyFill="1" applyBorder="1" applyAlignment="1">
      <alignment horizontal="center"/>
    </xf>
    <xf numFmtId="165" fontId="0" fillId="2" borderId="4" xfId="2" applyNumberFormat="1" applyFont="1" applyFill="1" applyBorder="1" applyAlignment="1"/>
    <xf numFmtId="0" fontId="0" fillId="2" borderId="5" xfId="0" applyFill="1" applyBorder="1"/>
    <xf numFmtId="165" fontId="0" fillId="2" borderId="1" xfId="2" applyNumberFormat="1" applyFont="1" applyFill="1" applyBorder="1" applyAlignment="1"/>
    <xf numFmtId="0" fontId="6" fillId="0" borderId="0" xfId="0" applyFont="1" applyFill="1"/>
    <xf numFmtId="166" fontId="5" fillId="2" borderId="0" xfId="1" applyNumberFormat="1" applyFont="1" applyFill="1" applyBorder="1" applyAlignment="1"/>
    <xf numFmtId="1" fontId="5" fillId="2" borderId="0" xfId="0" applyNumberFormat="1" applyFont="1" applyFill="1" applyBorder="1" applyAlignment="1"/>
    <xf numFmtId="0" fontId="5" fillId="2" borderId="0" xfId="0" applyFont="1" applyFill="1" applyBorder="1"/>
    <xf numFmtId="166" fontId="6" fillId="0" borderId="0" xfId="1" applyNumberFormat="1" applyFont="1" applyFill="1"/>
    <xf numFmtId="2" fontId="5" fillId="4" borderId="0" xfId="0" applyNumberFormat="1" applyFont="1" applyFill="1" applyBorder="1"/>
    <xf numFmtId="165" fontId="2" fillId="0" borderId="0" xfId="2" applyNumberFormat="1" applyFont="1"/>
    <xf numFmtId="10" fontId="2" fillId="0" borderId="0" xfId="0" applyNumberFormat="1" applyFont="1" applyFill="1"/>
    <xf numFmtId="166" fontId="2" fillId="3" borderId="2" xfId="1" applyNumberFormat="1" applyFont="1" applyFill="1" applyBorder="1" applyAlignment="1">
      <alignment horizontal="center"/>
    </xf>
    <xf numFmtId="166" fontId="2" fillId="2" borderId="2" xfId="0" applyNumberFormat="1" applyFont="1" applyFill="1" applyBorder="1"/>
    <xf numFmtId="165" fontId="2" fillId="3" borderId="1" xfId="2" applyNumberFormat="1" applyFont="1" applyFill="1" applyBorder="1" applyAlignment="1">
      <alignment horizontal="center"/>
    </xf>
    <xf numFmtId="165" fontId="2" fillId="2" borderId="1" xfId="2" applyNumberFormat="1" applyFont="1" applyFill="1" applyBorder="1" applyAlignment="1"/>
    <xf numFmtId="2" fontId="11" fillId="5" borderId="9" xfId="0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169" fontId="7" fillId="6" borderId="9" xfId="0" applyNumberFormat="1" applyFont="1" applyFill="1" applyBorder="1" applyAlignment="1" applyProtection="1">
      <alignment horizontal="center"/>
    </xf>
    <xf numFmtId="166" fontId="7" fillId="5" borderId="9" xfId="1" applyNumberFormat="1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167" fontId="0" fillId="0" borderId="0" xfId="0" applyNumberFormat="1" applyFill="1" applyProtection="1"/>
    <xf numFmtId="166" fontId="0" fillId="0" borderId="0" xfId="1" applyNumberFormat="1" applyFont="1" applyFill="1" applyProtection="1"/>
    <xf numFmtId="0" fontId="0" fillId="0" borderId="0" xfId="0" applyAlignment="1" applyProtection="1">
      <alignment horizontal="center"/>
    </xf>
    <xf numFmtId="169" fontId="7" fillId="7" borderId="9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6" fontId="7" fillId="5" borderId="10" xfId="1" applyNumberFormat="1" applyFont="1" applyFill="1" applyBorder="1" applyProtection="1"/>
    <xf numFmtId="166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/>
    <xf numFmtId="2" fontId="7" fillId="5" borderId="9" xfId="0" applyNumberFormat="1" applyFont="1" applyFill="1" applyBorder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166" fontId="5" fillId="0" borderId="0" xfId="1" applyNumberFormat="1" applyFont="1" applyAlignment="1" applyProtection="1">
      <alignment horizontal="center"/>
    </xf>
    <xf numFmtId="0" fontId="0" fillId="0" borderId="0" xfId="0" applyAlignment="1" applyProtection="1"/>
    <xf numFmtId="166" fontId="8" fillId="0" borderId="0" xfId="0" applyNumberFormat="1" applyFont="1" applyAlignment="1" applyProtection="1">
      <alignment horizontal="center"/>
    </xf>
    <xf numFmtId="43" fontId="0" fillId="0" borderId="0" xfId="0" applyNumberFormat="1" applyAlignment="1" applyProtection="1"/>
    <xf numFmtId="166" fontId="8" fillId="0" borderId="0" xfId="1" applyNumberFormat="1" applyFont="1" applyAlignment="1" applyProtection="1">
      <alignment horizontal="center"/>
    </xf>
    <xf numFmtId="166" fontId="7" fillId="5" borderId="9" xfId="1" applyNumberFormat="1" applyFont="1" applyFill="1" applyBorder="1" applyAlignment="1" applyProtection="1"/>
    <xf numFmtId="166" fontId="7" fillId="5" borderId="14" xfId="1" applyNumberFormat="1" applyFont="1" applyFill="1" applyBorder="1" applyAlignment="1" applyProtection="1"/>
    <xf numFmtId="1" fontId="7" fillId="5" borderId="9" xfId="0" applyNumberFormat="1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quotePrefix="1" applyProtection="1"/>
    <xf numFmtId="0" fontId="12" fillId="0" borderId="0" xfId="0" applyFont="1" applyProtection="1"/>
    <xf numFmtId="2" fontId="0" fillId="0" borderId="0" xfId="0" applyNumberFormat="1" applyProtection="1"/>
    <xf numFmtId="0" fontId="2" fillId="10" borderId="10" xfId="0" applyFont="1" applyFill="1" applyBorder="1" applyProtection="1"/>
    <xf numFmtId="0" fontId="2" fillId="10" borderId="11" xfId="0" applyFont="1" applyFill="1" applyBorder="1" applyProtection="1"/>
    <xf numFmtId="0" fontId="2" fillId="10" borderId="12" xfId="0" applyFont="1" applyFill="1" applyBorder="1" applyProtection="1"/>
    <xf numFmtId="0" fontId="0" fillId="9" borderId="8" xfId="0" applyFill="1" applyBorder="1" applyProtection="1"/>
    <xf numFmtId="0" fontId="2" fillId="9" borderId="11" xfId="0" applyFont="1" applyFill="1" applyBorder="1" applyProtection="1"/>
    <xf numFmtId="0" fontId="0" fillId="9" borderId="11" xfId="0" applyFill="1" applyBorder="1" applyProtection="1"/>
    <xf numFmtId="0" fontId="0" fillId="9" borderId="7" xfId="0" applyFill="1" applyBorder="1" applyProtection="1"/>
    <xf numFmtId="0" fontId="0" fillId="9" borderId="11" xfId="0" applyFill="1" applyBorder="1" applyAlignment="1" applyProtection="1">
      <alignment horizontal="center"/>
    </xf>
    <xf numFmtId="0" fontId="0" fillId="9" borderId="12" xfId="0" applyFill="1" applyBorder="1" applyProtection="1"/>
    <xf numFmtId="0" fontId="7" fillId="7" borderId="13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7" fillId="6" borderId="13" xfId="0" quotePrefix="1" applyFont="1" applyFill="1" applyBorder="1" applyAlignment="1" applyProtection="1">
      <alignment horizontal="center"/>
    </xf>
    <xf numFmtId="0" fontId="7" fillId="7" borderId="14" xfId="0" applyFont="1" applyFill="1" applyBorder="1" applyAlignment="1" applyProtection="1">
      <alignment horizontal="center"/>
    </xf>
    <xf numFmtId="0" fontId="7" fillId="6" borderId="14" xfId="0" applyFont="1" applyFill="1" applyBorder="1" applyAlignment="1" applyProtection="1">
      <alignment horizontal="center"/>
    </xf>
    <xf numFmtId="0" fontId="2" fillId="0" borderId="0" xfId="0" applyFont="1" applyProtection="1"/>
    <xf numFmtId="0" fontId="0" fillId="3" borderId="8" xfId="0" applyFill="1" applyBorder="1" applyProtection="1"/>
    <xf numFmtId="0" fontId="2" fillId="3" borderId="11" xfId="0" quotePrefix="1" applyFont="1" applyFill="1" applyBorder="1" applyProtection="1"/>
    <xf numFmtId="0" fontId="0" fillId="3" borderId="11" xfId="0" applyFill="1" applyBorder="1" applyProtection="1"/>
    <xf numFmtId="0" fontId="0" fillId="3" borderId="7" xfId="0" applyFill="1" applyBorder="1" applyProtection="1"/>
    <xf numFmtId="0" fontId="0" fillId="3" borderId="11" xfId="0" applyFill="1" applyBorder="1" applyAlignment="1" applyProtection="1">
      <alignment horizontal="center"/>
    </xf>
    <xf numFmtId="0" fontId="0" fillId="3" borderId="12" xfId="0" applyFill="1" applyBorder="1" applyProtection="1"/>
    <xf numFmtId="0" fontId="0" fillId="0" borderId="0" xfId="0" applyFill="1" applyProtection="1"/>
    <xf numFmtId="0" fontId="0" fillId="4" borderId="8" xfId="0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6" xfId="0" applyFill="1" applyBorder="1" applyProtection="1"/>
    <xf numFmtId="166" fontId="0" fillId="3" borderId="7" xfId="0" applyNumberForma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2" borderId="7" xfId="0" applyFill="1" applyBorder="1" applyAlignment="1" applyProtection="1"/>
    <xf numFmtId="0" fontId="0" fillId="2" borderId="6" xfId="0" applyFill="1" applyBorder="1" applyAlignment="1" applyProtection="1"/>
    <xf numFmtId="0" fontId="4" fillId="0" borderId="0" xfId="0" applyFont="1" applyFill="1" applyProtection="1"/>
    <xf numFmtId="0" fontId="0" fillId="2" borderId="0" xfId="0" applyFill="1" applyProtection="1"/>
    <xf numFmtId="1" fontId="5" fillId="4" borderId="5" xfId="0" applyNumberFormat="1" applyFont="1" applyFill="1" applyBorder="1" applyProtection="1"/>
    <xf numFmtId="2" fontId="5" fillId="4" borderId="0" xfId="0" applyNumberFormat="1" applyFont="1" applyFill="1" applyBorder="1" applyProtection="1"/>
    <xf numFmtId="1" fontId="5" fillId="4" borderId="0" xfId="0" applyNumberFormat="1" applyFont="1" applyFill="1" applyBorder="1" applyProtection="1"/>
    <xf numFmtId="1" fontId="5" fillId="4" borderId="4" xfId="0" applyNumberFormat="1" applyFont="1" applyFill="1" applyBorder="1" applyProtection="1"/>
    <xf numFmtId="169" fontId="2" fillId="3" borderId="5" xfId="0" applyNumberFormat="1" applyFont="1" applyFill="1" applyBorder="1" applyAlignment="1" applyProtection="1">
      <alignment horizontal="center"/>
    </xf>
    <xf numFmtId="166" fontId="5" fillId="3" borderId="0" xfId="1" applyNumberFormat="1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169" fontId="2" fillId="2" borderId="5" xfId="0" applyNumberFormat="1" applyFont="1" applyFill="1" applyBorder="1" applyAlignment="1" applyProtection="1">
      <alignment horizontal="center"/>
    </xf>
    <xf numFmtId="166" fontId="5" fillId="2" borderId="0" xfId="1" applyNumberFormat="1" applyFont="1" applyFill="1" applyBorder="1" applyAlignment="1" applyProtection="1"/>
    <xf numFmtId="0" fontId="0" fillId="2" borderId="4" xfId="0" applyFill="1" applyBorder="1" applyAlignment="1" applyProtection="1"/>
    <xf numFmtId="1" fontId="5" fillId="3" borderId="0" xfId="0" applyNumberFormat="1" applyFont="1" applyFill="1" applyBorder="1" applyAlignment="1" applyProtection="1">
      <alignment horizontal="center"/>
    </xf>
    <xf numFmtId="165" fontId="0" fillId="3" borderId="4" xfId="2" applyNumberFormat="1" applyFont="1" applyFill="1" applyBorder="1" applyAlignment="1" applyProtection="1">
      <alignment horizontal="center"/>
    </xf>
    <xf numFmtId="1" fontId="5" fillId="2" borderId="0" xfId="0" applyNumberFormat="1" applyFont="1" applyFill="1" applyBorder="1" applyAlignment="1" applyProtection="1"/>
    <xf numFmtId="0" fontId="0" fillId="0" borderId="0" xfId="0" applyFill="1" applyBorder="1" applyProtection="1"/>
    <xf numFmtId="169" fontId="0" fillId="3" borderId="5" xfId="0" applyNumberFormat="1" applyFill="1" applyBorder="1" applyAlignment="1" applyProtection="1">
      <alignment horizontal="center"/>
    </xf>
    <xf numFmtId="169" fontId="0" fillId="2" borderId="5" xfId="0" applyNumberFormat="1" applyFill="1" applyBorder="1" applyAlignment="1" applyProtection="1">
      <alignment horizontal="center"/>
    </xf>
    <xf numFmtId="165" fontId="0" fillId="2" borderId="4" xfId="2" applyNumberFormat="1" applyFont="1" applyFill="1" applyBorder="1" applyAlignment="1" applyProtection="1"/>
    <xf numFmtId="167" fontId="4" fillId="0" borderId="0" xfId="0" applyNumberFormat="1" applyFont="1" applyFill="1" applyProtection="1"/>
    <xf numFmtId="166" fontId="4" fillId="0" borderId="0" xfId="1" applyNumberFormat="1" applyFont="1" applyFill="1" applyProtection="1"/>
    <xf numFmtId="2" fontId="4" fillId="0" borderId="0" xfId="0" applyNumberFormat="1" applyFont="1" applyFill="1" applyProtection="1"/>
    <xf numFmtId="2" fontId="11" fillId="5" borderId="9" xfId="0" applyNumberFormat="1" applyFont="1" applyFill="1" applyBorder="1" applyAlignment="1" applyProtection="1">
      <alignment horizontal="center"/>
    </xf>
    <xf numFmtId="2" fontId="5" fillId="4" borderId="2" xfId="0" applyNumberFormat="1" applyFont="1" applyFill="1" applyBorder="1" applyProtection="1"/>
    <xf numFmtId="1" fontId="5" fillId="4" borderId="2" xfId="0" applyNumberFormat="1" applyFont="1" applyFill="1" applyBorder="1" applyProtection="1"/>
    <xf numFmtId="1" fontId="5" fillId="4" borderId="1" xfId="0" applyNumberFormat="1" applyFont="1" applyFill="1" applyBorder="1" applyProtection="1"/>
    <xf numFmtId="2" fontId="0" fillId="0" borderId="0" xfId="0" applyNumberFormat="1" applyFill="1" applyProtection="1"/>
    <xf numFmtId="2" fontId="0" fillId="3" borderId="5" xfId="0" applyNumberFormat="1" applyFill="1" applyBorder="1" applyAlignment="1" applyProtection="1">
      <alignment horizontal="center"/>
    </xf>
    <xf numFmtId="0" fontId="0" fillId="2" borderId="5" xfId="0" applyFill="1" applyBorder="1" applyProtection="1"/>
    <xf numFmtId="0" fontId="5" fillId="2" borderId="0" xfId="0" applyFont="1" applyFill="1" applyBorder="1" applyProtection="1"/>
    <xf numFmtId="167" fontId="0" fillId="3" borderId="5" xfId="0" applyNumberFormat="1" applyFill="1" applyBorder="1" applyAlignment="1" applyProtection="1">
      <alignment horizontal="center"/>
    </xf>
    <xf numFmtId="1" fontId="0" fillId="3" borderId="4" xfId="0" applyNumberFormat="1" applyFill="1" applyBorder="1" applyAlignment="1" applyProtection="1">
      <alignment horizontal="center"/>
    </xf>
    <xf numFmtId="167" fontId="0" fillId="2" borderId="5" xfId="0" applyNumberFormat="1" applyFill="1" applyBorder="1" applyAlignment="1" applyProtection="1">
      <alignment horizontal="center"/>
    </xf>
    <xf numFmtId="166" fontId="6" fillId="0" borderId="0" xfId="1" applyNumberFormat="1" applyFont="1" applyFill="1" applyProtection="1"/>
    <xf numFmtId="0" fontId="6" fillId="0" borderId="0" xfId="0" applyFont="1" applyFill="1" applyProtection="1"/>
    <xf numFmtId="167" fontId="0" fillId="3" borderId="3" xfId="0" applyNumberFormat="1" applyFill="1" applyBorder="1" applyAlignment="1" applyProtection="1">
      <alignment horizontal="center"/>
    </xf>
    <xf numFmtId="171" fontId="2" fillId="3" borderId="2" xfId="1" applyNumberFormat="1" applyFont="1" applyFill="1" applyBorder="1" applyAlignment="1" applyProtection="1"/>
    <xf numFmtId="165" fontId="2" fillId="3" borderId="1" xfId="2" applyNumberFormat="1" applyFont="1" applyFill="1" applyBorder="1" applyAlignment="1" applyProtection="1">
      <alignment horizontal="center"/>
    </xf>
    <xf numFmtId="167" fontId="0" fillId="2" borderId="3" xfId="0" applyNumberFormat="1" applyFill="1" applyBorder="1" applyAlignment="1" applyProtection="1">
      <alignment horizontal="center"/>
    </xf>
    <xf numFmtId="172" fontId="2" fillId="2" borderId="2" xfId="0" applyNumberFormat="1" applyFont="1" applyFill="1" applyBorder="1" applyProtection="1"/>
    <xf numFmtId="165" fontId="2" fillId="2" borderId="1" xfId="2" applyNumberFormat="1" applyFont="1" applyFill="1" applyBorder="1" applyAlignment="1" applyProtection="1"/>
    <xf numFmtId="166" fontId="0" fillId="0" borderId="0" xfId="0" applyNumberFormat="1" applyFill="1" applyProtection="1"/>
    <xf numFmtId="166" fontId="4" fillId="0" borderId="0" xfId="0" applyNumberFormat="1" applyFont="1" applyFill="1" applyProtection="1"/>
    <xf numFmtId="165" fontId="2" fillId="0" borderId="0" xfId="2" applyNumberFormat="1" applyFont="1" applyProtection="1"/>
    <xf numFmtId="10" fontId="2" fillId="0" borderId="0" xfId="0" applyNumberFormat="1" applyFont="1" applyFill="1" applyProtection="1"/>
    <xf numFmtId="0" fontId="0" fillId="0" borderId="8" xfId="0" applyFill="1" applyBorder="1" applyProtection="1"/>
    <xf numFmtId="0" fontId="2" fillId="0" borderId="11" xfId="0" applyFont="1" applyFill="1" applyBorder="1" applyProtection="1"/>
    <xf numFmtId="0" fontId="0" fillId="0" borderId="11" xfId="0" applyFill="1" applyBorder="1" applyProtection="1"/>
    <xf numFmtId="0" fontId="0" fillId="0" borderId="7" xfId="0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Protection="1"/>
    <xf numFmtId="0" fontId="3" fillId="11" borderId="8" xfId="0" applyFont="1" applyFill="1" applyBorder="1" applyAlignment="1" applyProtection="1">
      <alignment horizontal="center"/>
    </xf>
    <xf numFmtId="0" fontId="3" fillId="11" borderId="7" xfId="0" applyFont="1" applyFill="1" applyBorder="1" applyProtection="1"/>
    <xf numFmtId="0" fontId="3" fillId="11" borderId="6" xfId="0" applyFont="1" applyFill="1" applyBorder="1" applyProtection="1"/>
    <xf numFmtId="0" fontId="7" fillId="7" borderId="9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167" fontId="3" fillId="11" borderId="5" xfId="0" applyNumberFormat="1" applyFont="1" applyFill="1" applyBorder="1" applyAlignment="1" applyProtection="1">
      <alignment horizontal="center"/>
    </xf>
    <xf numFmtId="2" fontId="3" fillId="11" borderId="0" xfId="0" applyNumberFormat="1" applyFont="1" applyFill="1" applyBorder="1" applyProtection="1"/>
    <xf numFmtId="1" fontId="3" fillId="11" borderId="0" xfId="0" applyNumberFormat="1" applyFont="1" applyFill="1" applyBorder="1" applyProtection="1"/>
    <xf numFmtId="1" fontId="3" fillId="11" borderId="4" xfId="0" applyNumberFormat="1" applyFont="1" applyFill="1" applyBorder="1" applyProtection="1"/>
    <xf numFmtId="166" fontId="0" fillId="2" borderId="0" xfId="1" applyNumberFormat="1" applyFont="1" applyFill="1" applyBorder="1" applyAlignment="1" applyProtection="1"/>
    <xf numFmtId="0" fontId="3" fillId="11" borderId="0" xfId="0" applyFont="1" applyFill="1" applyBorder="1" applyProtection="1"/>
    <xf numFmtId="0" fontId="3" fillId="11" borderId="4" xfId="0" applyFont="1" applyFill="1" applyBorder="1" applyProtection="1"/>
    <xf numFmtId="167" fontId="6" fillId="3" borderId="5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/>
    <xf numFmtId="165" fontId="0" fillId="2" borderId="4" xfId="2" applyNumberFormat="1" applyFont="1" applyFill="1" applyBorder="1" applyAlignment="1" applyProtection="1">
      <alignment horizontal="center"/>
    </xf>
    <xf numFmtId="0" fontId="3" fillId="11" borderId="5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167" fontId="3" fillId="11" borderId="0" xfId="0" applyNumberFormat="1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2" fontId="3" fillId="11" borderId="3" xfId="0" applyNumberFormat="1" applyFont="1" applyFill="1" applyBorder="1" applyAlignment="1" applyProtection="1">
      <alignment horizontal="center"/>
    </xf>
    <xf numFmtId="2" fontId="3" fillId="11" borderId="2" xfId="0" applyNumberFormat="1" applyFont="1" applyFill="1" applyBorder="1" applyProtection="1"/>
    <xf numFmtId="1" fontId="3" fillId="11" borderId="2" xfId="0" applyNumberFormat="1" applyFont="1" applyFill="1" applyBorder="1" applyProtection="1"/>
    <xf numFmtId="1" fontId="3" fillId="11" borderId="1" xfId="0" applyNumberFormat="1" applyFont="1" applyFill="1" applyBorder="1" applyProtection="1"/>
    <xf numFmtId="166" fontId="0" fillId="3" borderId="2" xfId="1" applyNumberFormat="1" applyFont="1" applyFill="1" applyBorder="1" applyAlignment="1" applyProtection="1">
      <alignment horizontal="center"/>
    </xf>
    <xf numFmtId="165" fontId="0" fillId="3" borderId="1" xfId="2" applyNumberFormat="1" applyFont="1" applyFill="1" applyBorder="1" applyAlignment="1" applyProtection="1">
      <alignment horizontal="center"/>
    </xf>
    <xf numFmtId="166" fontId="0" fillId="2" borderId="2" xfId="0" applyNumberFormat="1" applyFill="1" applyBorder="1" applyProtection="1"/>
    <xf numFmtId="0" fontId="0" fillId="2" borderId="1" xfId="0" applyFill="1" applyBorder="1" applyAlignment="1" applyProtection="1"/>
    <xf numFmtId="165" fontId="0" fillId="0" borderId="0" xfId="2" applyNumberFormat="1" applyFont="1" applyProtection="1"/>
    <xf numFmtId="10" fontId="0" fillId="0" borderId="0" xfId="2" applyNumberFormat="1" applyFont="1" applyProtection="1"/>
    <xf numFmtId="164" fontId="0" fillId="0" borderId="0" xfId="0" applyNumberFormat="1" applyProtection="1"/>
    <xf numFmtId="0" fontId="14" fillId="0" borderId="0" xfId="0" applyFont="1" applyProtection="1"/>
    <xf numFmtId="0" fontId="0" fillId="14" borderId="0" xfId="0" applyFill="1" applyProtection="1"/>
    <xf numFmtId="0" fontId="0" fillId="14" borderId="0" xfId="0" applyFill="1" applyAlignment="1" applyProtection="1">
      <alignment horizontal="right"/>
    </xf>
    <xf numFmtId="0" fontId="0" fillId="15" borderId="0" xfId="0" applyFill="1" applyProtection="1"/>
    <xf numFmtId="0" fontId="0" fillId="15" borderId="0" xfId="0" applyFill="1" applyAlignment="1" applyProtection="1">
      <alignment horizontal="right"/>
    </xf>
    <xf numFmtId="0" fontId="15" fillId="0" borderId="0" xfId="0" quotePrefix="1" applyFont="1" applyProtection="1"/>
    <xf numFmtId="0" fontId="16" fillId="0" borderId="0" xfId="0" applyFont="1" applyProtection="1"/>
    <xf numFmtId="0" fontId="13" fillId="0" borderId="0" xfId="0" applyFont="1" applyFill="1" applyAlignment="1">
      <alignment vertical="top" wrapText="1"/>
    </xf>
    <xf numFmtId="0" fontId="17" fillId="0" borderId="0" xfId="0" applyFont="1" applyFill="1" applyAlignment="1">
      <alignment vertical="top" wrapText="1"/>
    </xf>
    <xf numFmtId="168" fontId="7" fillId="5" borderId="15" xfId="1" applyNumberFormat="1" applyFont="1" applyFill="1" applyBorder="1" applyAlignment="1" applyProtection="1">
      <alignment horizontal="center"/>
      <protection locked="0"/>
    </xf>
    <xf numFmtId="168" fontId="13" fillId="12" borderId="15" xfId="1" applyNumberFormat="1" applyFont="1" applyFill="1" applyBorder="1" applyAlignment="1" applyProtection="1">
      <alignment horizontal="center"/>
    </xf>
    <xf numFmtId="168" fontId="19" fillId="12" borderId="15" xfId="1" applyNumberFormat="1" applyFont="1" applyFill="1" applyBorder="1" applyAlignment="1" applyProtection="1">
      <alignment horizontal="center"/>
    </xf>
    <xf numFmtId="169" fontId="19" fillId="12" borderId="16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165" fontId="20" fillId="15" borderId="0" xfId="0" applyNumberFormat="1" applyFont="1" applyFill="1" applyAlignment="1" applyProtection="1">
      <alignment horizontal="left"/>
    </xf>
    <xf numFmtId="165" fontId="20" fillId="14" borderId="0" xfId="0" applyNumberFormat="1" applyFont="1" applyFill="1" applyAlignment="1" applyProtection="1">
      <alignment horizontal="left"/>
    </xf>
    <xf numFmtId="0" fontId="13" fillId="15" borderId="0" xfId="0" applyFont="1" applyFill="1" applyProtection="1"/>
    <xf numFmtId="0" fontId="17" fillId="13" borderId="0" xfId="0" applyFont="1" applyFill="1" applyAlignment="1">
      <alignment horizontal="left" vertical="top" wrapText="1"/>
    </xf>
    <xf numFmtId="170" fontId="3" fillId="5" borderId="15" xfId="0" applyNumberFormat="1" applyFont="1" applyFill="1" applyBorder="1" applyAlignment="1" applyProtection="1">
      <alignment horizontal="center"/>
      <protection locked="0"/>
    </xf>
    <xf numFmtId="169" fontId="3" fillId="5" borderId="15" xfId="0" applyNumberFormat="1" applyFont="1" applyFill="1" applyBorder="1" applyAlignment="1" applyProtection="1">
      <alignment horizontal="center"/>
      <protection locked="0"/>
    </xf>
    <xf numFmtId="173" fontId="3" fillId="5" borderId="15" xfId="0" applyNumberFormat="1" applyFont="1" applyFill="1" applyBorder="1" applyAlignment="1" applyProtection="1">
      <alignment horizontal="center"/>
      <protection locked="0"/>
    </xf>
    <xf numFmtId="168" fontId="3" fillId="5" borderId="15" xfId="1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0000"/>
      <color rgb="FFCC3300"/>
      <color rgb="FFFF9933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274134</xdr:colOff>
      <xdr:row>31</xdr:row>
      <xdr:rowOff>65049</xdr:rowOff>
    </xdr:from>
    <xdr:to>
      <xdr:col>2</xdr:col>
      <xdr:colOff>610065</xdr:colOff>
      <xdr:row>45</xdr:row>
      <xdr:rowOff>4880</xdr:rowOff>
    </xdr:to>
    <xdr:cxnSp macro="">
      <xdr:nvCxnSpPr>
        <xdr:cNvPr id="42" name="Straight Arrow Connector 41"/>
        <xdr:cNvCxnSpPr/>
      </xdr:nvCxnSpPr>
      <xdr:spPr>
        <a:xfrm flipH="1" flipV="1">
          <a:off x="2188427" y="6616390"/>
          <a:ext cx="335931" cy="330124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9523</xdr:colOff>
      <xdr:row>8</xdr:row>
      <xdr:rowOff>171450</xdr:rowOff>
    </xdr:from>
    <xdr:to>
      <xdr:col>9</xdr:col>
      <xdr:colOff>58929</xdr:colOff>
      <xdr:row>47</xdr:row>
      <xdr:rowOff>20160</xdr:rowOff>
    </xdr:to>
    <xdr:sp macro="" textlink="">
      <xdr:nvSpPr>
        <xdr:cNvPr id="8" name="Parallelogram 7"/>
        <xdr:cNvSpPr/>
      </xdr:nvSpPr>
      <xdr:spPr>
        <a:xfrm rot="5400000">
          <a:off x="3903609" y="4394523"/>
          <a:ext cx="5150185" cy="746357"/>
        </a:xfrm>
        <a:prstGeom prst="parallelogram">
          <a:avLst>
            <a:gd name="adj" fmla="val 101861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7</xdr:col>
      <xdr:colOff>47623</xdr:colOff>
      <xdr:row>13</xdr:row>
      <xdr:rowOff>66675</xdr:rowOff>
    </xdr:from>
    <xdr:to>
      <xdr:col>9</xdr:col>
      <xdr:colOff>58935</xdr:colOff>
      <xdr:row>17</xdr:row>
      <xdr:rowOff>17962</xdr:rowOff>
    </xdr:to>
    <xdr:sp macro="" textlink="">
      <xdr:nvSpPr>
        <xdr:cNvPr id="112" name="Parallelogram 111"/>
        <xdr:cNvSpPr/>
      </xdr:nvSpPr>
      <xdr:spPr>
        <a:xfrm flipV="1">
          <a:off x="4772023" y="3352800"/>
          <a:ext cx="1230512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330679</xdr:colOff>
      <xdr:row>31</xdr:row>
      <xdr:rowOff>39538</xdr:rowOff>
    </xdr:from>
    <xdr:to>
      <xdr:col>9</xdr:col>
      <xdr:colOff>64337</xdr:colOff>
      <xdr:row>47</xdr:row>
      <xdr:rowOff>25161</xdr:rowOff>
    </xdr:to>
    <xdr:sp macro="" textlink="">
      <xdr:nvSpPr>
        <xdr:cNvPr id="9" name="Parallelogram 8"/>
        <xdr:cNvSpPr/>
      </xdr:nvSpPr>
      <xdr:spPr>
        <a:xfrm flipV="1">
          <a:off x="2245204" y="6592738"/>
          <a:ext cx="4600933" cy="757148"/>
        </a:xfrm>
        <a:prstGeom prst="parallelogram">
          <a:avLst>
            <a:gd name="adj" fmla="val 97226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7</xdr:col>
      <xdr:colOff>114299</xdr:colOff>
      <xdr:row>8</xdr:row>
      <xdr:rowOff>190441</xdr:rowOff>
    </xdr:from>
    <xdr:to>
      <xdr:col>8</xdr:col>
      <xdr:colOff>175859</xdr:colOff>
      <xdr:row>47</xdr:row>
      <xdr:rowOff>16753</xdr:rowOff>
    </xdr:to>
    <xdr:sp macro="" textlink="">
      <xdr:nvSpPr>
        <xdr:cNvPr id="7" name="Parallelogram 6"/>
        <xdr:cNvSpPr/>
      </xdr:nvSpPr>
      <xdr:spPr>
        <a:xfrm rot="5400000">
          <a:off x="3318023" y="4397167"/>
          <a:ext cx="5131737" cy="756885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7</xdr:col>
      <xdr:colOff>324848</xdr:colOff>
      <xdr:row>29</xdr:row>
      <xdr:rowOff>133353</xdr:rowOff>
    </xdr:from>
    <xdr:to>
      <xdr:col>7</xdr:col>
      <xdr:colOff>572499</xdr:colOff>
      <xdr:row>45</xdr:row>
      <xdr:rowOff>104777</xdr:rowOff>
    </xdr:to>
    <xdr:sp macro="" textlink="">
      <xdr:nvSpPr>
        <xdr:cNvPr id="12" name="Parallelogram 11"/>
        <xdr:cNvSpPr/>
      </xdr:nvSpPr>
      <xdr:spPr>
        <a:xfrm rot="5400000">
          <a:off x="5463587" y="6548439"/>
          <a:ext cx="752474" cy="247651"/>
        </a:xfrm>
        <a:prstGeom prst="parallelogram">
          <a:avLst>
            <a:gd name="adj" fmla="val 101238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blipFill dpi="0"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</a:endParaRPr>
        </a:p>
      </xdr:txBody>
    </xdr:sp>
    <xdr:clientData/>
  </xdr:twoCellAnchor>
  <xdr:twoCellAnchor>
    <xdr:from>
      <xdr:col>7</xdr:col>
      <xdr:colOff>57148</xdr:colOff>
      <xdr:row>25</xdr:row>
      <xdr:rowOff>9525</xdr:rowOff>
    </xdr:from>
    <xdr:to>
      <xdr:col>9</xdr:col>
      <xdr:colOff>57150</xdr:colOff>
      <xdr:row>28</xdr:row>
      <xdr:rowOff>170362</xdr:rowOff>
    </xdr:to>
    <xdr:sp macro="" textlink="">
      <xdr:nvSpPr>
        <xdr:cNvPr id="14" name="Parallelogram 13"/>
        <xdr:cNvSpPr/>
      </xdr:nvSpPr>
      <xdr:spPr>
        <a:xfrm flipV="1">
          <a:off x="4781548" y="5676900"/>
          <a:ext cx="1219202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353122</xdr:colOff>
      <xdr:row>25</xdr:row>
      <xdr:rowOff>9524</xdr:rowOff>
    </xdr:from>
    <xdr:to>
      <xdr:col>9</xdr:col>
      <xdr:colOff>57150</xdr:colOff>
      <xdr:row>28</xdr:row>
      <xdr:rowOff>170361</xdr:rowOff>
    </xdr:to>
    <xdr:sp macro="" textlink="">
      <xdr:nvSpPr>
        <xdr:cNvPr id="13" name="Parallelogram 12"/>
        <xdr:cNvSpPr/>
      </xdr:nvSpPr>
      <xdr:spPr>
        <a:xfrm flipV="1">
          <a:off x="2267415" y="5389987"/>
          <a:ext cx="4582686" cy="741630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7</xdr:col>
      <xdr:colOff>114299</xdr:colOff>
      <xdr:row>8</xdr:row>
      <xdr:rowOff>180976</xdr:rowOff>
    </xdr:from>
    <xdr:to>
      <xdr:col>8</xdr:col>
      <xdr:colOff>171447</xdr:colOff>
      <xdr:row>28</xdr:row>
      <xdr:rowOff>179891</xdr:rowOff>
    </xdr:to>
    <xdr:sp macro="" textlink="">
      <xdr:nvSpPr>
        <xdr:cNvPr id="15" name="Parallelogram 14"/>
        <xdr:cNvSpPr/>
      </xdr:nvSpPr>
      <xdr:spPr>
        <a:xfrm rot="5400000">
          <a:off x="3910553" y="3795172"/>
          <a:ext cx="3942265" cy="752473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2</xdr:col>
      <xdr:colOff>333375</xdr:colOff>
      <xdr:row>13</xdr:row>
      <xdr:rowOff>66675</xdr:rowOff>
    </xdr:from>
    <xdr:to>
      <xdr:col>8</xdr:col>
      <xdr:colOff>161925</xdr:colOff>
      <xdr:row>17</xdr:row>
      <xdr:rowOff>17962</xdr:rowOff>
    </xdr:to>
    <xdr:sp macro="" textlink="">
      <xdr:nvSpPr>
        <xdr:cNvPr id="113" name="Parallelogram 112"/>
        <xdr:cNvSpPr/>
      </xdr:nvSpPr>
      <xdr:spPr>
        <a:xfrm flipV="1">
          <a:off x="2247900" y="3076575"/>
          <a:ext cx="4000500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</xdr:col>
      <xdr:colOff>323850</xdr:colOff>
      <xdr:row>8</xdr:row>
      <xdr:rowOff>190439</xdr:rowOff>
    </xdr:from>
    <xdr:to>
      <xdr:col>1</xdr:col>
      <xdr:colOff>323850</xdr:colOff>
      <xdr:row>21</xdr:row>
      <xdr:rowOff>0</xdr:rowOff>
    </xdr:to>
    <xdr:cxnSp macro="">
      <xdr:nvCxnSpPr>
        <xdr:cNvPr id="21" name="Straight Arrow Connector 20"/>
        <xdr:cNvCxnSpPr/>
      </xdr:nvCxnSpPr>
      <xdr:spPr>
        <a:xfrm flipV="1">
          <a:off x="933450" y="190439"/>
          <a:ext cx="0" cy="2381311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324352</xdr:colOff>
      <xdr:row>22</xdr:row>
      <xdr:rowOff>0</xdr:rowOff>
    </xdr:from>
    <xdr:to>
      <xdr:col>1</xdr:col>
      <xdr:colOff>330868</xdr:colOff>
      <xdr:row>31</xdr:row>
      <xdr:rowOff>5013</xdr:rowOff>
    </xdr:to>
    <xdr:cxnSp macro="">
      <xdr:nvCxnSpPr>
        <xdr:cNvPr id="22" name="Straight Arrow Connector 21"/>
        <xdr:cNvCxnSpPr/>
      </xdr:nvCxnSpPr>
      <xdr:spPr>
        <a:xfrm>
          <a:off x="1306931" y="4797592"/>
          <a:ext cx="6516" cy="1769645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28</xdr:row>
      <xdr:rowOff>171450</xdr:rowOff>
    </xdr:from>
    <xdr:to>
      <xdr:col>10</xdr:col>
      <xdr:colOff>180975</xdr:colOff>
      <xdr:row>30</xdr:row>
      <xdr:rowOff>200026</xdr:rowOff>
    </xdr:to>
    <xdr:cxnSp macro="">
      <xdr:nvCxnSpPr>
        <xdr:cNvPr id="32" name="Straight Arrow Connector 31"/>
        <xdr:cNvCxnSpPr/>
      </xdr:nvCxnSpPr>
      <xdr:spPr>
        <a:xfrm flipV="1">
          <a:off x="5962650" y="4505325"/>
          <a:ext cx="0" cy="428626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32</xdr:row>
      <xdr:rowOff>9525</xdr:rowOff>
    </xdr:from>
    <xdr:to>
      <xdr:col>10</xdr:col>
      <xdr:colOff>190501</xdr:colOff>
      <xdr:row>47</xdr:row>
      <xdr:rowOff>28575</xdr:rowOff>
    </xdr:to>
    <xdr:cxnSp macro="">
      <xdr:nvCxnSpPr>
        <xdr:cNvPr id="33" name="Straight Arrow Connector 32"/>
        <xdr:cNvCxnSpPr/>
      </xdr:nvCxnSpPr>
      <xdr:spPr>
        <a:xfrm flipH="1">
          <a:off x="5972175" y="5153025"/>
          <a:ext cx="1" cy="609600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9527</xdr:colOff>
      <xdr:row>51</xdr:row>
      <xdr:rowOff>104775</xdr:rowOff>
    </xdr:from>
    <xdr:to>
      <xdr:col>9</xdr:col>
      <xdr:colOff>85725</xdr:colOff>
      <xdr:row>51</xdr:row>
      <xdr:rowOff>114300</xdr:rowOff>
    </xdr:to>
    <xdr:cxnSp macro="">
      <xdr:nvCxnSpPr>
        <xdr:cNvPr id="38" name="Straight Arrow Connector 37"/>
        <xdr:cNvCxnSpPr/>
      </xdr:nvCxnSpPr>
      <xdr:spPr>
        <a:xfrm flipV="1">
          <a:off x="4733927" y="6619875"/>
          <a:ext cx="1295398" cy="9525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485775</xdr:colOff>
      <xdr:row>51</xdr:row>
      <xdr:rowOff>114300</xdr:rowOff>
    </xdr:from>
    <xdr:to>
      <xdr:col>5</xdr:col>
      <xdr:colOff>600075</xdr:colOff>
      <xdr:row>51</xdr:row>
      <xdr:rowOff>114301</xdr:rowOff>
    </xdr:to>
    <xdr:cxnSp macro="">
      <xdr:nvCxnSpPr>
        <xdr:cNvPr id="40" name="Straight Arrow Connector 39"/>
        <xdr:cNvCxnSpPr/>
      </xdr:nvCxnSpPr>
      <xdr:spPr>
        <a:xfrm flipH="1" flipV="1">
          <a:off x="2771775" y="6629400"/>
          <a:ext cx="1333500" cy="1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45</xdr:row>
      <xdr:rowOff>95251</xdr:rowOff>
    </xdr:from>
    <xdr:to>
      <xdr:col>3</xdr:col>
      <xdr:colOff>352425</xdr:colOff>
      <xdr:row>47</xdr:row>
      <xdr:rowOff>76200</xdr:rowOff>
    </xdr:to>
    <xdr:cxnSp macro="">
      <xdr:nvCxnSpPr>
        <xdr:cNvPr id="46" name="Straight Arrow Connector 45"/>
        <xdr:cNvCxnSpPr/>
      </xdr:nvCxnSpPr>
      <xdr:spPr>
        <a:xfrm>
          <a:off x="2609851" y="7038976"/>
          <a:ext cx="352424" cy="361949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590551</xdr:colOff>
      <xdr:row>13</xdr:row>
      <xdr:rowOff>85724</xdr:rowOff>
    </xdr:from>
    <xdr:ext cx="428624" cy="523875"/>
    <xdr:sp macro="" textlink="$AE$25">
      <xdr:nvSpPr>
        <xdr:cNvPr id="54" name="Rectangle 53"/>
        <xdr:cNvSpPr/>
      </xdr:nvSpPr>
      <xdr:spPr>
        <a:xfrm>
          <a:off x="2876551" y="3371849"/>
          <a:ext cx="428624" cy="523875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AF8669C2-C41E-499D-B7E7-415F4024143F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53 Pa</a:t>
          </a:fld>
          <a:endParaRPr lang="en-US" sz="1200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9525</xdr:colOff>
      <xdr:row>13</xdr:row>
      <xdr:rowOff>5984</xdr:rowOff>
    </xdr:from>
    <xdr:to>
      <xdr:col>5</xdr:col>
      <xdr:colOff>209550</xdr:colOff>
      <xdr:row>14</xdr:row>
      <xdr:rowOff>46905</xdr:rowOff>
    </xdr:to>
    <xdr:sp macro="" textlink="">
      <xdr:nvSpPr>
        <xdr:cNvPr id="57" name="Freeform 56"/>
        <xdr:cNvSpPr/>
      </xdr:nvSpPr>
      <xdr:spPr>
        <a:xfrm>
          <a:off x="2905125" y="3292109"/>
          <a:ext cx="809625" cy="240946"/>
        </a:xfrm>
        <a:custGeom>
          <a:avLst/>
          <a:gdLst>
            <a:gd name="connsiteX0" fmla="*/ 0 w 914400"/>
            <a:gd name="connsiteY0" fmla="*/ 70216 h 240946"/>
            <a:gd name="connsiteX1" fmla="*/ 142875 w 914400"/>
            <a:gd name="connsiteY1" fmla="*/ 3541 h 240946"/>
            <a:gd name="connsiteX2" fmla="*/ 504825 w 914400"/>
            <a:gd name="connsiteY2" fmla="*/ 32116 h 240946"/>
            <a:gd name="connsiteX3" fmla="*/ 638175 w 914400"/>
            <a:gd name="connsiteY3" fmla="*/ 222616 h 240946"/>
            <a:gd name="connsiteX4" fmla="*/ 914400 w 914400"/>
            <a:gd name="connsiteY4" fmla="*/ 222616 h 2409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240946">
              <a:moveTo>
                <a:pt x="0" y="70216"/>
              </a:moveTo>
              <a:cubicBezTo>
                <a:pt x="29369" y="40053"/>
                <a:pt x="58738" y="9891"/>
                <a:pt x="142875" y="3541"/>
              </a:cubicBezTo>
              <a:cubicBezTo>
                <a:pt x="227012" y="-2809"/>
                <a:pt x="422275" y="-4396"/>
                <a:pt x="504825" y="32116"/>
              </a:cubicBezTo>
              <a:cubicBezTo>
                <a:pt x="587375" y="68628"/>
                <a:pt x="569913" y="190866"/>
                <a:pt x="638175" y="222616"/>
              </a:cubicBezTo>
              <a:cubicBezTo>
                <a:pt x="706438" y="254366"/>
                <a:pt x="847725" y="238491"/>
                <a:pt x="914400" y="222616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590548</xdr:colOff>
      <xdr:row>27</xdr:row>
      <xdr:rowOff>57149</xdr:rowOff>
    </xdr:from>
    <xdr:to>
      <xdr:col>6</xdr:col>
      <xdr:colOff>504825</xdr:colOff>
      <xdr:row>31</xdr:row>
      <xdr:rowOff>76199</xdr:rowOff>
    </xdr:to>
    <xdr:sp macro="" textlink="$AF$32">
      <xdr:nvSpPr>
        <xdr:cNvPr id="61" name="Up Arrow 60"/>
        <xdr:cNvSpPr/>
      </xdr:nvSpPr>
      <xdr:spPr>
        <a:xfrm>
          <a:off x="3486148" y="6095999"/>
          <a:ext cx="1133477" cy="819150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CCC58136-CB33-4F98-A069-A6638CEEB542}" type="TxLink">
            <a:rPr lang="en-US" sz="1050" b="1" i="0" u="none" strike="noStrike">
              <a:solidFill>
                <a:sysClr val="windowText" lastClr="000000"/>
              </a:solidFill>
              <a:latin typeface="Calibri"/>
            </a:rPr>
            <a:pPr algn="ctr"/>
            <a:t>35,041 CFM</a:t>
          </a:fld>
          <a:endParaRPr 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19050</xdr:colOff>
      <xdr:row>8</xdr:row>
      <xdr:rowOff>171450</xdr:rowOff>
    </xdr:from>
    <xdr:to>
      <xdr:col>21</xdr:col>
      <xdr:colOff>71462</xdr:colOff>
      <xdr:row>47</xdr:row>
      <xdr:rowOff>20160</xdr:rowOff>
    </xdr:to>
    <xdr:sp macro="" textlink="">
      <xdr:nvSpPr>
        <xdr:cNvPr id="117" name="Parallelogram 116"/>
        <xdr:cNvSpPr/>
      </xdr:nvSpPr>
      <xdr:spPr>
        <a:xfrm rot="5400000">
          <a:off x="12246226" y="4393949"/>
          <a:ext cx="5154135" cy="747737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19</xdr:col>
      <xdr:colOff>60156</xdr:colOff>
      <xdr:row>13</xdr:row>
      <xdr:rowOff>66675</xdr:rowOff>
    </xdr:from>
    <xdr:to>
      <xdr:col>21</xdr:col>
      <xdr:colOff>71468</xdr:colOff>
      <xdr:row>17</xdr:row>
      <xdr:rowOff>17962</xdr:rowOff>
    </xdr:to>
    <xdr:sp macro="" textlink="">
      <xdr:nvSpPr>
        <xdr:cNvPr id="118" name="Parallelogram 117"/>
        <xdr:cNvSpPr/>
      </xdr:nvSpPr>
      <xdr:spPr>
        <a:xfrm flipV="1">
          <a:off x="13795206" y="3076575"/>
          <a:ext cx="1401962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343212</xdr:colOff>
      <xdr:row>31</xdr:row>
      <xdr:rowOff>39538</xdr:rowOff>
    </xdr:from>
    <xdr:to>
      <xdr:col>21</xdr:col>
      <xdr:colOff>76870</xdr:colOff>
      <xdr:row>47</xdr:row>
      <xdr:rowOff>25161</xdr:rowOff>
    </xdr:to>
    <xdr:sp macro="" textlink="">
      <xdr:nvSpPr>
        <xdr:cNvPr id="119" name="Parallelogram 118"/>
        <xdr:cNvSpPr/>
      </xdr:nvSpPr>
      <xdr:spPr>
        <a:xfrm flipV="1">
          <a:off x="10601637" y="6592738"/>
          <a:ext cx="4600933" cy="757148"/>
        </a:xfrm>
        <a:prstGeom prst="parallelogram">
          <a:avLst>
            <a:gd name="adj" fmla="val 97226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19</xdr:col>
      <xdr:colOff>126832</xdr:colOff>
      <xdr:row>8</xdr:row>
      <xdr:rowOff>190441</xdr:rowOff>
    </xdr:from>
    <xdr:to>
      <xdr:col>20</xdr:col>
      <xdr:colOff>188392</xdr:colOff>
      <xdr:row>47</xdr:row>
      <xdr:rowOff>16753</xdr:rowOff>
    </xdr:to>
    <xdr:sp macro="" textlink="">
      <xdr:nvSpPr>
        <xdr:cNvPr id="120" name="Parallelogram 119"/>
        <xdr:cNvSpPr/>
      </xdr:nvSpPr>
      <xdr:spPr>
        <a:xfrm rot="5400000">
          <a:off x="11674456" y="4397167"/>
          <a:ext cx="5131737" cy="756885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19</xdr:col>
      <xdr:colOff>333375</xdr:colOff>
      <xdr:row>29</xdr:row>
      <xdr:rowOff>133353</xdr:rowOff>
    </xdr:from>
    <xdr:to>
      <xdr:col>19</xdr:col>
      <xdr:colOff>585032</xdr:colOff>
      <xdr:row>45</xdr:row>
      <xdr:rowOff>104777</xdr:rowOff>
    </xdr:to>
    <xdr:sp macro="" textlink="">
      <xdr:nvSpPr>
        <xdr:cNvPr id="121" name="Parallelogram 120"/>
        <xdr:cNvSpPr/>
      </xdr:nvSpPr>
      <xdr:spPr>
        <a:xfrm rot="5400000">
          <a:off x="13818017" y="6546436"/>
          <a:ext cx="752474" cy="251657"/>
        </a:xfrm>
        <a:prstGeom prst="parallelogram">
          <a:avLst>
            <a:gd name="adj" fmla="val 101238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blipFill dpi="0"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</a:endParaRPr>
        </a:p>
      </xdr:txBody>
    </xdr:sp>
    <xdr:clientData/>
  </xdr:twoCellAnchor>
  <xdr:twoCellAnchor>
    <xdr:from>
      <xdr:col>14</xdr:col>
      <xdr:colOff>333375</xdr:colOff>
      <xdr:row>25</xdr:row>
      <xdr:rowOff>9524</xdr:rowOff>
    </xdr:from>
    <xdr:to>
      <xdr:col>21</xdr:col>
      <xdr:colOff>69683</xdr:colOff>
      <xdr:row>28</xdr:row>
      <xdr:rowOff>170361</xdr:rowOff>
    </xdr:to>
    <xdr:sp macro="" textlink="">
      <xdr:nvSpPr>
        <xdr:cNvPr id="127" name="Parallelogram 126"/>
        <xdr:cNvSpPr/>
      </xdr:nvSpPr>
      <xdr:spPr>
        <a:xfrm flipV="1">
          <a:off x="10591800" y="5391149"/>
          <a:ext cx="4603583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19</xdr:col>
      <xdr:colOff>126831</xdr:colOff>
      <xdr:row>8</xdr:row>
      <xdr:rowOff>171450</xdr:rowOff>
    </xdr:from>
    <xdr:to>
      <xdr:col>20</xdr:col>
      <xdr:colOff>183979</xdr:colOff>
      <xdr:row>28</xdr:row>
      <xdr:rowOff>179891</xdr:rowOff>
    </xdr:to>
    <xdr:sp macro="" textlink="">
      <xdr:nvSpPr>
        <xdr:cNvPr id="128" name="Parallelogram 127"/>
        <xdr:cNvSpPr/>
      </xdr:nvSpPr>
      <xdr:spPr>
        <a:xfrm rot="5400000">
          <a:off x="12262222" y="3790409"/>
          <a:ext cx="3951791" cy="752473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14</xdr:col>
      <xdr:colOff>345908</xdr:colOff>
      <xdr:row>13</xdr:row>
      <xdr:rowOff>66675</xdr:rowOff>
    </xdr:from>
    <xdr:to>
      <xdr:col>20</xdr:col>
      <xdr:colOff>174458</xdr:colOff>
      <xdr:row>17</xdr:row>
      <xdr:rowOff>17962</xdr:rowOff>
    </xdr:to>
    <xdr:sp macro="" textlink="">
      <xdr:nvSpPr>
        <xdr:cNvPr id="129" name="Parallelogram 128"/>
        <xdr:cNvSpPr/>
      </xdr:nvSpPr>
      <xdr:spPr>
        <a:xfrm flipV="1">
          <a:off x="10604333" y="3076575"/>
          <a:ext cx="4000500" cy="741862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14</xdr:col>
      <xdr:colOff>345907</xdr:colOff>
      <xdr:row>8</xdr:row>
      <xdr:rowOff>176123</xdr:rowOff>
    </xdr:from>
    <xdr:to>
      <xdr:col>15</xdr:col>
      <xdr:colOff>397581</xdr:colOff>
      <xdr:row>47</xdr:row>
      <xdr:rowOff>19050</xdr:rowOff>
    </xdr:to>
    <xdr:sp macro="" textlink="">
      <xdr:nvSpPr>
        <xdr:cNvPr id="130" name="Parallelogram 129"/>
        <xdr:cNvSpPr/>
      </xdr:nvSpPr>
      <xdr:spPr>
        <a:xfrm rot="5400000">
          <a:off x="8403656" y="4396099"/>
          <a:ext cx="5148352" cy="746999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19</xdr:col>
      <xdr:colOff>318331</xdr:colOff>
      <xdr:row>12</xdr:row>
      <xdr:rowOff>9528</xdr:rowOff>
    </xdr:from>
    <xdr:to>
      <xdr:col>19</xdr:col>
      <xdr:colOff>565982</xdr:colOff>
      <xdr:row>15</xdr:row>
      <xdr:rowOff>104777</xdr:rowOff>
    </xdr:to>
    <xdr:sp macro="" textlink="">
      <xdr:nvSpPr>
        <xdr:cNvPr id="131" name="Parallelogram 130"/>
        <xdr:cNvSpPr/>
      </xdr:nvSpPr>
      <xdr:spPr>
        <a:xfrm rot="5400000">
          <a:off x="13829545" y="3043239"/>
          <a:ext cx="695324" cy="247651"/>
        </a:xfrm>
        <a:prstGeom prst="parallelogram">
          <a:avLst>
            <a:gd name="adj" fmla="val 101238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blipFill dpi="0"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</a:endParaRPr>
        </a:p>
      </xdr:txBody>
    </xdr:sp>
    <xdr:clientData/>
  </xdr:twoCellAnchor>
  <xdr:twoCellAnchor>
    <xdr:from>
      <xdr:col>14</xdr:col>
      <xdr:colOff>341897</xdr:colOff>
      <xdr:row>8</xdr:row>
      <xdr:rowOff>168930</xdr:rowOff>
    </xdr:from>
    <xdr:to>
      <xdr:col>21</xdr:col>
      <xdr:colOff>80647</xdr:colOff>
      <xdr:row>12</xdr:row>
      <xdr:rowOff>147364</xdr:rowOff>
    </xdr:to>
    <xdr:sp macro="" textlink="">
      <xdr:nvSpPr>
        <xdr:cNvPr id="132" name="Parallelogram 131"/>
        <xdr:cNvSpPr/>
      </xdr:nvSpPr>
      <xdr:spPr>
        <a:xfrm flipV="1">
          <a:off x="10600322" y="2188230"/>
          <a:ext cx="4606025" cy="769009"/>
        </a:xfrm>
        <a:prstGeom prst="parallelogram">
          <a:avLst>
            <a:gd name="adj" fmla="val 9860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5</xdr:col>
      <xdr:colOff>266700</xdr:colOff>
      <xdr:row>30</xdr:row>
      <xdr:rowOff>19050</xdr:rowOff>
    </xdr:from>
    <xdr:to>
      <xdr:col>6</xdr:col>
      <xdr:colOff>190500</xdr:colOff>
      <xdr:row>31</xdr:row>
      <xdr:rowOff>47625</xdr:rowOff>
    </xdr:to>
    <xdr:sp macro="" textlink="$AF$33">
      <xdr:nvSpPr>
        <xdr:cNvPr id="62" name="Rectangle 61"/>
        <xdr:cNvSpPr/>
      </xdr:nvSpPr>
      <xdr:spPr>
        <a:xfrm>
          <a:off x="4267200" y="6372225"/>
          <a:ext cx="619125" cy="2286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96B7FF2-1232-493E-A5F1-D2693E7746C4}" type="TxLink">
            <a:rPr lang="en-US" sz="900" b="0" i="0" u="none" strike="noStrike">
              <a:solidFill>
                <a:sysClr val="windowText" lastClr="000000"/>
              </a:solidFill>
              <a:latin typeface="Calibri"/>
            </a:rPr>
            <a:pPr algn="l"/>
            <a:t>-10.2%</a:t>
          </a:fld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495300</xdr:colOff>
      <xdr:row>13</xdr:row>
      <xdr:rowOff>137218</xdr:rowOff>
    </xdr:from>
    <xdr:to>
      <xdr:col>6</xdr:col>
      <xdr:colOff>590550</xdr:colOff>
      <xdr:row>15</xdr:row>
      <xdr:rowOff>76200</xdr:rowOff>
    </xdr:to>
    <xdr:sp macro="" textlink="">
      <xdr:nvSpPr>
        <xdr:cNvPr id="63" name="Freeform 62"/>
        <xdr:cNvSpPr/>
      </xdr:nvSpPr>
      <xdr:spPr>
        <a:xfrm>
          <a:off x="4000500" y="3423343"/>
          <a:ext cx="704850" cy="339032"/>
        </a:xfrm>
        <a:custGeom>
          <a:avLst/>
          <a:gdLst>
            <a:gd name="connsiteX0" fmla="*/ 0 w 704850"/>
            <a:gd name="connsiteY0" fmla="*/ 91382 h 339032"/>
            <a:gd name="connsiteX1" fmla="*/ 66675 w 704850"/>
            <a:gd name="connsiteY1" fmla="*/ 5657 h 339032"/>
            <a:gd name="connsiteX2" fmla="*/ 285750 w 704850"/>
            <a:gd name="connsiteY2" fmla="*/ 15182 h 339032"/>
            <a:gd name="connsiteX3" fmla="*/ 438150 w 704850"/>
            <a:gd name="connsiteY3" fmla="*/ 72332 h 339032"/>
            <a:gd name="connsiteX4" fmla="*/ 495300 w 704850"/>
            <a:gd name="connsiteY4" fmla="*/ 224732 h 339032"/>
            <a:gd name="connsiteX5" fmla="*/ 704850 w 704850"/>
            <a:gd name="connsiteY5" fmla="*/ 339032 h 3390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704850" h="339032">
              <a:moveTo>
                <a:pt x="0" y="91382"/>
              </a:moveTo>
              <a:cubicBezTo>
                <a:pt x="9525" y="54869"/>
                <a:pt x="19050" y="18357"/>
                <a:pt x="66675" y="5657"/>
              </a:cubicBezTo>
              <a:cubicBezTo>
                <a:pt x="114300" y="-7043"/>
                <a:pt x="223837" y="4069"/>
                <a:pt x="285750" y="15182"/>
              </a:cubicBezTo>
              <a:cubicBezTo>
                <a:pt x="347663" y="26295"/>
                <a:pt x="403225" y="37407"/>
                <a:pt x="438150" y="72332"/>
              </a:cubicBezTo>
              <a:cubicBezTo>
                <a:pt x="473075" y="107257"/>
                <a:pt x="450850" y="180282"/>
                <a:pt x="495300" y="224732"/>
              </a:cubicBezTo>
              <a:cubicBezTo>
                <a:pt x="539750" y="269182"/>
                <a:pt x="671513" y="324745"/>
                <a:pt x="704850" y="33903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495176</xdr:colOff>
      <xdr:row>13</xdr:row>
      <xdr:rowOff>161925</xdr:rowOff>
    </xdr:from>
    <xdr:to>
      <xdr:col>6</xdr:col>
      <xdr:colOff>0</xdr:colOff>
      <xdr:row>48</xdr:row>
      <xdr:rowOff>28574</xdr:rowOff>
    </xdr:to>
    <xdr:sp macro="" textlink="">
      <xdr:nvSpPr>
        <xdr:cNvPr id="64" name="Freeform 63"/>
        <xdr:cNvSpPr/>
      </xdr:nvSpPr>
      <xdr:spPr>
        <a:xfrm>
          <a:off x="2781176" y="3448050"/>
          <a:ext cx="1333624" cy="4400549"/>
        </a:xfrm>
        <a:custGeom>
          <a:avLst/>
          <a:gdLst>
            <a:gd name="connsiteX0" fmla="*/ 1228849 w 1228849"/>
            <a:gd name="connsiteY0" fmla="*/ 68155 h 5316430"/>
            <a:gd name="connsiteX1" fmla="*/ 1047874 w 1228849"/>
            <a:gd name="connsiteY1" fmla="*/ 1480 h 5316430"/>
            <a:gd name="connsiteX2" fmla="*/ 971674 w 1228849"/>
            <a:gd name="connsiteY2" fmla="*/ 125305 h 5316430"/>
            <a:gd name="connsiteX3" fmla="*/ 943099 w 1228849"/>
            <a:gd name="connsiteY3" fmla="*/ 363430 h 5316430"/>
            <a:gd name="connsiteX4" fmla="*/ 876424 w 1228849"/>
            <a:gd name="connsiteY4" fmla="*/ 572980 h 5316430"/>
            <a:gd name="connsiteX5" fmla="*/ 514474 w 1228849"/>
            <a:gd name="connsiteY5" fmla="*/ 639655 h 5316430"/>
            <a:gd name="connsiteX6" fmla="*/ 104899 w 1228849"/>
            <a:gd name="connsiteY6" fmla="*/ 649180 h 5316430"/>
            <a:gd name="connsiteX7" fmla="*/ 9649 w 1228849"/>
            <a:gd name="connsiteY7" fmla="*/ 696805 h 5316430"/>
            <a:gd name="connsiteX8" fmla="*/ 9649 w 1228849"/>
            <a:gd name="connsiteY8" fmla="*/ 982555 h 5316430"/>
            <a:gd name="connsiteX9" fmla="*/ 57274 w 1228849"/>
            <a:gd name="connsiteY9" fmla="*/ 1392130 h 5316430"/>
            <a:gd name="connsiteX10" fmla="*/ 124 w 1228849"/>
            <a:gd name="connsiteY10" fmla="*/ 1896955 h 5316430"/>
            <a:gd name="connsiteX11" fmla="*/ 76324 w 1228849"/>
            <a:gd name="connsiteY11" fmla="*/ 2678005 h 5316430"/>
            <a:gd name="connsiteX12" fmla="*/ 19174 w 1228849"/>
            <a:gd name="connsiteY12" fmla="*/ 2954230 h 5316430"/>
            <a:gd name="connsiteX13" fmla="*/ 9649 w 1228849"/>
            <a:gd name="connsiteY13" fmla="*/ 3582880 h 5316430"/>
            <a:gd name="connsiteX14" fmla="*/ 76324 w 1228849"/>
            <a:gd name="connsiteY14" fmla="*/ 4173430 h 5316430"/>
            <a:gd name="connsiteX15" fmla="*/ 28699 w 1228849"/>
            <a:gd name="connsiteY15" fmla="*/ 4583005 h 5316430"/>
            <a:gd name="connsiteX16" fmla="*/ 85849 w 1228849"/>
            <a:gd name="connsiteY16" fmla="*/ 4640155 h 5316430"/>
            <a:gd name="connsiteX17" fmla="*/ 333499 w 1228849"/>
            <a:gd name="connsiteY17" fmla="*/ 4630630 h 5316430"/>
            <a:gd name="connsiteX18" fmla="*/ 666874 w 1228849"/>
            <a:gd name="connsiteY18" fmla="*/ 4687780 h 5316430"/>
            <a:gd name="connsiteX19" fmla="*/ 962149 w 1228849"/>
            <a:gd name="connsiteY19" fmla="*/ 4906855 h 5316430"/>
            <a:gd name="connsiteX20" fmla="*/ 1047874 w 1228849"/>
            <a:gd name="connsiteY20" fmla="*/ 5125930 h 5316430"/>
            <a:gd name="connsiteX21" fmla="*/ 1047874 w 1228849"/>
            <a:gd name="connsiteY21" fmla="*/ 5316430 h 53164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1228849" h="5316430">
              <a:moveTo>
                <a:pt x="1228849" y="68155"/>
              </a:moveTo>
              <a:cubicBezTo>
                <a:pt x="1159792" y="30055"/>
                <a:pt x="1090736" y="-8045"/>
                <a:pt x="1047874" y="1480"/>
              </a:cubicBezTo>
              <a:cubicBezTo>
                <a:pt x="1005012" y="11005"/>
                <a:pt x="989136" y="64980"/>
                <a:pt x="971674" y="125305"/>
              </a:cubicBezTo>
              <a:cubicBezTo>
                <a:pt x="954212" y="185630"/>
                <a:pt x="958974" y="288818"/>
                <a:pt x="943099" y="363430"/>
              </a:cubicBezTo>
              <a:cubicBezTo>
                <a:pt x="927224" y="438042"/>
                <a:pt x="947861" y="526943"/>
                <a:pt x="876424" y="572980"/>
              </a:cubicBezTo>
              <a:cubicBezTo>
                <a:pt x="804987" y="619017"/>
                <a:pt x="643061" y="626955"/>
                <a:pt x="514474" y="639655"/>
              </a:cubicBezTo>
              <a:cubicBezTo>
                <a:pt x="385887" y="652355"/>
                <a:pt x="189036" y="639655"/>
                <a:pt x="104899" y="649180"/>
              </a:cubicBezTo>
              <a:cubicBezTo>
                <a:pt x="20761" y="658705"/>
                <a:pt x="25524" y="641243"/>
                <a:pt x="9649" y="696805"/>
              </a:cubicBezTo>
              <a:cubicBezTo>
                <a:pt x="-6226" y="752367"/>
                <a:pt x="1712" y="866668"/>
                <a:pt x="9649" y="982555"/>
              </a:cubicBezTo>
              <a:cubicBezTo>
                <a:pt x="17586" y="1098442"/>
                <a:pt x="58861" y="1239730"/>
                <a:pt x="57274" y="1392130"/>
              </a:cubicBezTo>
              <a:cubicBezTo>
                <a:pt x="55687" y="1544530"/>
                <a:pt x="-3051" y="1682643"/>
                <a:pt x="124" y="1896955"/>
              </a:cubicBezTo>
              <a:cubicBezTo>
                <a:pt x="3299" y="2111267"/>
                <a:pt x="73149" y="2501793"/>
                <a:pt x="76324" y="2678005"/>
              </a:cubicBezTo>
              <a:cubicBezTo>
                <a:pt x="79499" y="2854217"/>
                <a:pt x="30287" y="2803417"/>
                <a:pt x="19174" y="2954230"/>
              </a:cubicBezTo>
              <a:cubicBezTo>
                <a:pt x="8061" y="3105043"/>
                <a:pt x="124" y="3379680"/>
                <a:pt x="9649" y="3582880"/>
              </a:cubicBezTo>
              <a:cubicBezTo>
                <a:pt x="19174" y="3786080"/>
                <a:pt x="73149" y="4006743"/>
                <a:pt x="76324" y="4173430"/>
              </a:cubicBezTo>
              <a:cubicBezTo>
                <a:pt x="79499" y="4340117"/>
                <a:pt x="27112" y="4505218"/>
                <a:pt x="28699" y="4583005"/>
              </a:cubicBezTo>
              <a:cubicBezTo>
                <a:pt x="30286" y="4660792"/>
                <a:pt x="35049" y="4632217"/>
                <a:pt x="85849" y="4640155"/>
              </a:cubicBezTo>
              <a:cubicBezTo>
                <a:pt x="136649" y="4648093"/>
                <a:pt x="236661" y="4622693"/>
                <a:pt x="333499" y="4630630"/>
              </a:cubicBezTo>
              <a:cubicBezTo>
                <a:pt x="430336" y="4638568"/>
                <a:pt x="562099" y="4641743"/>
                <a:pt x="666874" y="4687780"/>
              </a:cubicBezTo>
              <a:cubicBezTo>
                <a:pt x="771649" y="4733818"/>
                <a:pt x="898649" y="4833830"/>
                <a:pt x="962149" y="4906855"/>
              </a:cubicBezTo>
              <a:cubicBezTo>
                <a:pt x="1025649" y="4979880"/>
                <a:pt x="1033587" y="5057668"/>
                <a:pt x="1047874" y="5125930"/>
              </a:cubicBezTo>
              <a:cubicBezTo>
                <a:pt x="1062161" y="5194192"/>
                <a:pt x="1047874" y="5316430"/>
                <a:pt x="1047874" y="5316430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419099</xdr:colOff>
      <xdr:row>14</xdr:row>
      <xdr:rowOff>9525</xdr:rowOff>
    </xdr:from>
    <xdr:ext cx="428626" cy="571500"/>
    <xdr:sp macro="" textlink="$AE$26">
      <xdr:nvSpPr>
        <xdr:cNvPr id="58" name="Rectangle 57"/>
        <xdr:cNvSpPr/>
      </xdr:nvSpPr>
      <xdr:spPr>
        <a:xfrm>
          <a:off x="3924299" y="3495675"/>
          <a:ext cx="428626" cy="5715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2543AD3D-EAF9-409A-A170-08300137A54C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50 Pa</a:t>
          </a:fld>
          <a:endParaRPr lang="en-US" sz="1200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11261</xdr:colOff>
      <xdr:row>29</xdr:row>
      <xdr:rowOff>88595</xdr:rowOff>
    </xdr:from>
    <xdr:to>
      <xdr:col>4</xdr:col>
      <xdr:colOff>285750</xdr:colOff>
      <xdr:row>45</xdr:row>
      <xdr:rowOff>28575</xdr:rowOff>
    </xdr:to>
    <xdr:sp macro="" textlink="">
      <xdr:nvSpPr>
        <xdr:cNvPr id="66" name="Freeform 65"/>
        <xdr:cNvSpPr/>
      </xdr:nvSpPr>
      <xdr:spPr>
        <a:xfrm>
          <a:off x="2906861" y="6251270"/>
          <a:ext cx="274489" cy="721030"/>
        </a:xfrm>
        <a:custGeom>
          <a:avLst/>
          <a:gdLst>
            <a:gd name="connsiteX0" fmla="*/ 274489 w 274489"/>
            <a:gd name="connsiteY0" fmla="*/ 130480 h 740080"/>
            <a:gd name="connsiteX1" fmla="*/ 217339 w 274489"/>
            <a:gd name="connsiteY1" fmla="*/ 6655 h 740080"/>
            <a:gd name="connsiteX2" fmla="*/ 93514 w 274489"/>
            <a:gd name="connsiteY2" fmla="*/ 25705 h 740080"/>
            <a:gd name="connsiteX3" fmla="*/ 45889 w 274489"/>
            <a:gd name="connsiteY3" fmla="*/ 101905 h 740080"/>
            <a:gd name="connsiteX4" fmla="*/ 45889 w 274489"/>
            <a:gd name="connsiteY4" fmla="*/ 254305 h 740080"/>
            <a:gd name="connsiteX5" fmla="*/ 74464 w 274489"/>
            <a:gd name="connsiteY5" fmla="*/ 359080 h 740080"/>
            <a:gd name="connsiteX6" fmla="*/ 36364 w 274489"/>
            <a:gd name="connsiteY6" fmla="*/ 549580 h 740080"/>
            <a:gd name="connsiteX7" fmla="*/ 26839 w 274489"/>
            <a:gd name="connsiteY7" fmla="*/ 740080 h 7400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74489" h="740080">
              <a:moveTo>
                <a:pt x="274489" y="130480"/>
              </a:moveTo>
              <a:cubicBezTo>
                <a:pt x="260995" y="77298"/>
                <a:pt x="247501" y="24117"/>
                <a:pt x="217339" y="6655"/>
              </a:cubicBezTo>
              <a:cubicBezTo>
                <a:pt x="187177" y="-10807"/>
                <a:pt x="122089" y="9830"/>
                <a:pt x="93514" y="25705"/>
              </a:cubicBezTo>
              <a:cubicBezTo>
                <a:pt x="64939" y="41580"/>
                <a:pt x="53826" y="63805"/>
                <a:pt x="45889" y="101905"/>
              </a:cubicBezTo>
              <a:cubicBezTo>
                <a:pt x="37952" y="140005"/>
                <a:pt x="41126" y="211443"/>
                <a:pt x="45889" y="254305"/>
              </a:cubicBezTo>
              <a:cubicBezTo>
                <a:pt x="50651" y="297168"/>
                <a:pt x="76051" y="309868"/>
                <a:pt x="74464" y="359080"/>
              </a:cubicBezTo>
              <a:cubicBezTo>
                <a:pt x="72877" y="408292"/>
                <a:pt x="44301" y="486080"/>
                <a:pt x="36364" y="549580"/>
              </a:cubicBezTo>
              <a:cubicBezTo>
                <a:pt x="28427" y="613080"/>
                <a:pt x="-35074" y="708330"/>
                <a:pt x="26839" y="740080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170221</xdr:colOff>
      <xdr:row>29</xdr:row>
      <xdr:rowOff>115588</xdr:rowOff>
    </xdr:from>
    <xdr:to>
      <xdr:col>5</xdr:col>
      <xdr:colOff>152400</xdr:colOff>
      <xdr:row>32</xdr:row>
      <xdr:rowOff>49741</xdr:rowOff>
    </xdr:to>
    <xdr:sp macro="" textlink="">
      <xdr:nvSpPr>
        <xdr:cNvPr id="68" name="Freeform 67"/>
        <xdr:cNvSpPr/>
      </xdr:nvSpPr>
      <xdr:spPr>
        <a:xfrm>
          <a:off x="3065821" y="6278263"/>
          <a:ext cx="591779" cy="524703"/>
        </a:xfrm>
        <a:custGeom>
          <a:avLst/>
          <a:gdLst>
            <a:gd name="connsiteX0" fmla="*/ 1229 w 591779"/>
            <a:gd name="connsiteY0" fmla="*/ 103487 h 534228"/>
            <a:gd name="connsiteX1" fmla="*/ 29804 w 591779"/>
            <a:gd name="connsiteY1" fmla="*/ 8237 h 534228"/>
            <a:gd name="connsiteX2" fmla="*/ 201254 w 591779"/>
            <a:gd name="connsiteY2" fmla="*/ 8237 h 534228"/>
            <a:gd name="connsiteX3" fmla="*/ 296504 w 591779"/>
            <a:gd name="connsiteY3" fmla="*/ 36812 h 534228"/>
            <a:gd name="connsiteX4" fmla="*/ 439379 w 591779"/>
            <a:gd name="connsiteY4" fmla="*/ 74912 h 534228"/>
            <a:gd name="connsiteX5" fmla="*/ 439379 w 591779"/>
            <a:gd name="connsiteY5" fmla="*/ 113012 h 534228"/>
            <a:gd name="connsiteX6" fmla="*/ 420329 w 591779"/>
            <a:gd name="connsiteY6" fmla="*/ 189212 h 534228"/>
            <a:gd name="connsiteX7" fmla="*/ 487004 w 591779"/>
            <a:gd name="connsiteY7" fmla="*/ 265412 h 534228"/>
            <a:gd name="connsiteX8" fmla="*/ 487004 w 591779"/>
            <a:gd name="connsiteY8" fmla="*/ 360662 h 534228"/>
            <a:gd name="connsiteX9" fmla="*/ 477479 w 591779"/>
            <a:gd name="connsiteY9" fmla="*/ 503537 h 534228"/>
            <a:gd name="connsiteX10" fmla="*/ 563204 w 591779"/>
            <a:gd name="connsiteY10" fmla="*/ 532112 h 534228"/>
            <a:gd name="connsiteX11" fmla="*/ 591779 w 591779"/>
            <a:gd name="connsiteY11" fmla="*/ 532112 h 5342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1779" h="534228">
              <a:moveTo>
                <a:pt x="1229" y="103487"/>
              </a:moveTo>
              <a:cubicBezTo>
                <a:pt x="-1152" y="63799"/>
                <a:pt x="-3533" y="24112"/>
                <a:pt x="29804" y="8237"/>
              </a:cubicBezTo>
              <a:cubicBezTo>
                <a:pt x="63141" y="-7638"/>
                <a:pt x="156804" y="3474"/>
                <a:pt x="201254" y="8237"/>
              </a:cubicBezTo>
              <a:cubicBezTo>
                <a:pt x="245704" y="12999"/>
                <a:pt x="256817" y="25699"/>
                <a:pt x="296504" y="36812"/>
              </a:cubicBezTo>
              <a:cubicBezTo>
                <a:pt x="336192" y="47924"/>
                <a:pt x="415567" y="62212"/>
                <a:pt x="439379" y="74912"/>
              </a:cubicBezTo>
              <a:cubicBezTo>
                <a:pt x="463192" y="87612"/>
                <a:pt x="442554" y="93962"/>
                <a:pt x="439379" y="113012"/>
              </a:cubicBezTo>
              <a:cubicBezTo>
                <a:pt x="436204" y="132062"/>
                <a:pt x="412392" y="163812"/>
                <a:pt x="420329" y="189212"/>
              </a:cubicBezTo>
              <a:cubicBezTo>
                <a:pt x="428266" y="214612"/>
                <a:pt x="475892" y="236837"/>
                <a:pt x="487004" y="265412"/>
              </a:cubicBezTo>
              <a:cubicBezTo>
                <a:pt x="498116" y="293987"/>
                <a:pt x="488591" y="320975"/>
                <a:pt x="487004" y="360662"/>
              </a:cubicBezTo>
              <a:cubicBezTo>
                <a:pt x="485417" y="400349"/>
                <a:pt x="464779" y="474962"/>
                <a:pt x="477479" y="503537"/>
              </a:cubicBezTo>
              <a:cubicBezTo>
                <a:pt x="490179" y="532112"/>
                <a:pt x="544154" y="527350"/>
                <a:pt x="563204" y="532112"/>
              </a:cubicBezTo>
              <a:cubicBezTo>
                <a:pt x="582254" y="536874"/>
                <a:pt x="591779" y="532112"/>
                <a:pt x="591779" y="53211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123825</xdr:colOff>
      <xdr:row>30</xdr:row>
      <xdr:rowOff>9525</xdr:rowOff>
    </xdr:from>
    <xdr:ext cx="419100" cy="571500"/>
    <xdr:sp macro="" textlink="$AE$29">
      <xdr:nvSpPr>
        <xdr:cNvPr id="60" name="Rectangle 59"/>
        <xdr:cNvSpPr/>
      </xdr:nvSpPr>
      <xdr:spPr>
        <a:xfrm>
          <a:off x="3019425" y="6362700"/>
          <a:ext cx="419100" cy="5715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2DE98ABF-B7F3-4792-9469-6CA077DD7536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65 Pa</a:t>
          </a:fld>
          <a:endParaRPr lang="en-US" sz="1000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180975</xdr:colOff>
      <xdr:row>31</xdr:row>
      <xdr:rowOff>9323</xdr:rowOff>
    </xdr:from>
    <xdr:to>
      <xdr:col>6</xdr:col>
      <xdr:colOff>495300</xdr:colOff>
      <xdr:row>32</xdr:row>
      <xdr:rowOff>190500</xdr:rowOff>
    </xdr:to>
    <xdr:sp macro="" textlink="">
      <xdr:nvSpPr>
        <xdr:cNvPr id="69" name="Freeform 68"/>
        <xdr:cNvSpPr/>
      </xdr:nvSpPr>
      <xdr:spPr>
        <a:xfrm>
          <a:off x="4295775" y="4962323"/>
          <a:ext cx="314325" cy="381202"/>
        </a:xfrm>
        <a:custGeom>
          <a:avLst/>
          <a:gdLst>
            <a:gd name="connsiteX0" fmla="*/ 314325 w 314325"/>
            <a:gd name="connsiteY0" fmla="*/ 152602 h 381202"/>
            <a:gd name="connsiteX1" fmla="*/ 276225 w 314325"/>
            <a:gd name="connsiteY1" fmla="*/ 57352 h 381202"/>
            <a:gd name="connsiteX2" fmla="*/ 171450 w 314325"/>
            <a:gd name="connsiteY2" fmla="*/ 202 h 381202"/>
            <a:gd name="connsiteX3" fmla="*/ 85725 w 314325"/>
            <a:gd name="connsiteY3" fmla="*/ 76402 h 381202"/>
            <a:gd name="connsiteX4" fmla="*/ 76200 w 314325"/>
            <a:gd name="connsiteY4" fmla="*/ 219277 h 381202"/>
            <a:gd name="connsiteX5" fmla="*/ 47625 w 314325"/>
            <a:gd name="connsiteY5" fmla="*/ 333577 h 381202"/>
            <a:gd name="connsiteX6" fmla="*/ 0 w 314325"/>
            <a:gd name="connsiteY6" fmla="*/ 381202 h 3812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14325" h="381202">
              <a:moveTo>
                <a:pt x="314325" y="152602"/>
              </a:moveTo>
              <a:cubicBezTo>
                <a:pt x="307181" y="117677"/>
                <a:pt x="300037" y="82752"/>
                <a:pt x="276225" y="57352"/>
              </a:cubicBezTo>
              <a:cubicBezTo>
                <a:pt x="252412" y="31952"/>
                <a:pt x="203200" y="-2973"/>
                <a:pt x="171450" y="202"/>
              </a:cubicBezTo>
              <a:cubicBezTo>
                <a:pt x="139700" y="3377"/>
                <a:pt x="101600" y="39889"/>
                <a:pt x="85725" y="76402"/>
              </a:cubicBezTo>
              <a:cubicBezTo>
                <a:pt x="69850" y="112914"/>
                <a:pt x="82550" y="176415"/>
                <a:pt x="76200" y="219277"/>
              </a:cubicBezTo>
              <a:cubicBezTo>
                <a:pt x="69850" y="262139"/>
                <a:pt x="60325" y="306590"/>
                <a:pt x="47625" y="333577"/>
              </a:cubicBezTo>
              <a:cubicBezTo>
                <a:pt x="34925" y="360564"/>
                <a:pt x="3175" y="371677"/>
                <a:pt x="0" y="38120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371475</xdr:colOff>
      <xdr:row>31</xdr:row>
      <xdr:rowOff>85725</xdr:rowOff>
    </xdr:from>
    <xdr:to>
      <xdr:col>6</xdr:col>
      <xdr:colOff>123825</xdr:colOff>
      <xdr:row>47</xdr:row>
      <xdr:rowOff>19050</xdr:rowOff>
    </xdr:to>
    <xdr:sp macro="" textlink="">
      <xdr:nvSpPr>
        <xdr:cNvPr id="16" name="Rectangle 15"/>
        <xdr:cNvSpPr/>
      </xdr:nvSpPr>
      <xdr:spPr>
        <a:xfrm>
          <a:off x="3876675" y="6924675"/>
          <a:ext cx="361950" cy="7239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541092</xdr:colOff>
      <xdr:row>30</xdr:row>
      <xdr:rowOff>165270</xdr:rowOff>
    </xdr:from>
    <xdr:to>
      <xdr:col>8</xdr:col>
      <xdr:colOff>304800</xdr:colOff>
      <xdr:row>32</xdr:row>
      <xdr:rowOff>19050</xdr:rowOff>
    </xdr:to>
    <xdr:sp macro="" textlink="">
      <xdr:nvSpPr>
        <xdr:cNvPr id="71" name="Freeform 70"/>
        <xdr:cNvSpPr/>
      </xdr:nvSpPr>
      <xdr:spPr>
        <a:xfrm>
          <a:off x="4655892" y="4908720"/>
          <a:ext cx="982908" cy="263355"/>
        </a:xfrm>
        <a:custGeom>
          <a:avLst/>
          <a:gdLst>
            <a:gd name="connsiteX0" fmla="*/ 1833 w 982908"/>
            <a:gd name="connsiteY0" fmla="*/ 177630 h 263355"/>
            <a:gd name="connsiteX1" fmla="*/ 30408 w 982908"/>
            <a:gd name="connsiteY1" fmla="*/ 6180 h 263355"/>
            <a:gd name="connsiteX2" fmla="*/ 211383 w 982908"/>
            <a:gd name="connsiteY2" fmla="*/ 53805 h 263355"/>
            <a:gd name="connsiteX3" fmla="*/ 354258 w 982908"/>
            <a:gd name="connsiteY3" fmla="*/ 206205 h 263355"/>
            <a:gd name="connsiteX4" fmla="*/ 611433 w 982908"/>
            <a:gd name="connsiteY4" fmla="*/ 253830 h 263355"/>
            <a:gd name="connsiteX5" fmla="*/ 982908 w 982908"/>
            <a:gd name="connsiteY5" fmla="*/ 263355 h 2633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82908" h="263355">
              <a:moveTo>
                <a:pt x="1833" y="177630"/>
              </a:moveTo>
              <a:cubicBezTo>
                <a:pt x="-1342" y="102224"/>
                <a:pt x="-4517" y="26818"/>
                <a:pt x="30408" y="6180"/>
              </a:cubicBezTo>
              <a:cubicBezTo>
                <a:pt x="65333" y="-14458"/>
                <a:pt x="157408" y="20468"/>
                <a:pt x="211383" y="53805"/>
              </a:cubicBezTo>
              <a:cubicBezTo>
                <a:pt x="265358" y="87142"/>
                <a:pt x="287583" y="172867"/>
                <a:pt x="354258" y="206205"/>
              </a:cubicBezTo>
              <a:cubicBezTo>
                <a:pt x="420933" y="239543"/>
                <a:pt x="506658" y="244305"/>
                <a:pt x="611433" y="253830"/>
              </a:cubicBezTo>
              <a:cubicBezTo>
                <a:pt x="716208" y="263355"/>
                <a:pt x="882896" y="260180"/>
                <a:pt x="982908" y="263355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323850</xdr:colOff>
      <xdr:row>8</xdr:row>
      <xdr:rowOff>190439</xdr:rowOff>
    </xdr:from>
    <xdr:to>
      <xdr:col>13</xdr:col>
      <xdr:colOff>323850</xdr:colOff>
      <xdr:row>21</xdr:row>
      <xdr:rowOff>0</xdr:rowOff>
    </xdr:to>
    <xdr:cxnSp macro="">
      <xdr:nvCxnSpPr>
        <xdr:cNvPr id="82" name="Straight Arrow Connector 81"/>
        <xdr:cNvCxnSpPr/>
      </xdr:nvCxnSpPr>
      <xdr:spPr>
        <a:xfrm flipV="1">
          <a:off x="1304925" y="580964"/>
          <a:ext cx="0" cy="2381311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315829</xdr:colOff>
      <xdr:row>22</xdr:row>
      <xdr:rowOff>0</xdr:rowOff>
    </xdr:from>
    <xdr:to>
      <xdr:col>13</xdr:col>
      <xdr:colOff>324352</xdr:colOff>
      <xdr:row>31</xdr:row>
      <xdr:rowOff>15039</xdr:rowOff>
    </xdr:to>
    <xdr:cxnSp macro="">
      <xdr:nvCxnSpPr>
        <xdr:cNvPr id="83" name="Straight Arrow Connector 82"/>
        <xdr:cNvCxnSpPr/>
      </xdr:nvCxnSpPr>
      <xdr:spPr>
        <a:xfrm flipH="1">
          <a:off x="8632658" y="4797592"/>
          <a:ext cx="8523" cy="1779671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180975</xdr:colOff>
      <xdr:row>28</xdr:row>
      <xdr:rowOff>171450</xdr:rowOff>
    </xdr:from>
    <xdr:to>
      <xdr:col>22</xdr:col>
      <xdr:colOff>180975</xdr:colOff>
      <xdr:row>30</xdr:row>
      <xdr:rowOff>200026</xdr:rowOff>
    </xdr:to>
    <xdr:cxnSp macro="">
      <xdr:nvCxnSpPr>
        <xdr:cNvPr id="84" name="Straight Arrow Connector 83"/>
        <xdr:cNvCxnSpPr/>
      </xdr:nvCxnSpPr>
      <xdr:spPr>
        <a:xfrm flipV="1">
          <a:off x="6419850" y="4514850"/>
          <a:ext cx="0" cy="428626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190500</xdr:colOff>
      <xdr:row>32</xdr:row>
      <xdr:rowOff>9525</xdr:rowOff>
    </xdr:from>
    <xdr:to>
      <xdr:col>22</xdr:col>
      <xdr:colOff>190501</xdr:colOff>
      <xdr:row>47</xdr:row>
      <xdr:rowOff>28575</xdr:rowOff>
    </xdr:to>
    <xdr:cxnSp macro="">
      <xdr:nvCxnSpPr>
        <xdr:cNvPr id="85" name="Straight Arrow Connector 84"/>
        <xdr:cNvCxnSpPr/>
      </xdr:nvCxnSpPr>
      <xdr:spPr>
        <a:xfrm flipH="1">
          <a:off x="6429375" y="5162550"/>
          <a:ext cx="1" cy="609600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9527</xdr:colOff>
      <xdr:row>51</xdr:row>
      <xdr:rowOff>95250</xdr:rowOff>
    </xdr:from>
    <xdr:to>
      <xdr:col>21</xdr:col>
      <xdr:colOff>85725</xdr:colOff>
      <xdr:row>51</xdr:row>
      <xdr:rowOff>104775</xdr:rowOff>
    </xdr:to>
    <xdr:cxnSp macro="">
      <xdr:nvCxnSpPr>
        <xdr:cNvPr id="86" name="Straight Arrow Connector 85"/>
        <xdr:cNvCxnSpPr/>
      </xdr:nvCxnSpPr>
      <xdr:spPr>
        <a:xfrm flipV="1">
          <a:off x="12049127" y="6629400"/>
          <a:ext cx="1295398" cy="9525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485775</xdr:colOff>
      <xdr:row>51</xdr:row>
      <xdr:rowOff>104775</xdr:rowOff>
    </xdr:from>
    <xdr:to>
      <xdr:col>17</xdr:col>
      <xdr:colOff>600075</xdr:colOff>
      <xdr:row>51</xdr:row>
      <xdr:rowOff>104776</xdr:rowOff>
    </xdr:to>
    <xdr:cxnSp macro="">
      <xdr:nvCxnSpPr>
        <xdr:cNvPr id="87" name="Straight Arrow Connector 86"/>
        <xdr:cNvCxnSpPr/>
      </xdr:nvCxnSpPr>
      <xdr:spPr>
        <a:xfrm flipH="1" flipV="1">
          <a:off x="10086975" y="6638925"/>
          <a:ext cx="1333500" cy="1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371475</xdr:colOff>
      <xdr:row>31</xdr:row>
      <xdr:rowOff>104775</xdr:rowOff>
    </xdr:from>
    <xdr:ext cx="428626" cy="571500"/>
    <xdr:sp macro="" textlink="$AE$28">
      <xdr:nvSpPr>
        <xdr:cNvPr id="59" name="Rectangle 58"/>
        <xdr:cNvSpPr/>
      </xdr:nvSpPr>
      <xdr:spPr>
        <a:xfrm>
          <a:off x="4486275" y="5057775"/>
          <a:ext cx="428626" cy="5715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BC8F2E91-0CE3-4EBE-AB13-0A2BA04A06A5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15 Pa</a:t>
          </a:fld>
          <a:endParaRPr lang="en-US" sz="1050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14</xdr:col>
      <xdr:colOff>266700</xdr:colOff>
      <xdr:row>31</xdr:row>
      <xdr:rowOff>66675</xdr:rowOff>
    </xdr:from>
    <xdr:to>
      <xdr:col>14</xdr:col>
      <xdr:colOff>590554</xdr:colOff>
      <xdr:row>33</xdr:row>
      <xdr:rowOff>0</xdr:rowOff>
    </xdr:to>
    <xdr:cxnSp macro="">
      <xdr:nvCxnSpPr>
        <xdr:cNvPr id="88" name="Straight Arrow Connector 87"/>
        <xdr:cNvCxnSpPr/>
      </xdr:nvCxnSpPr>
      <xdr:spPr>
        <a:xfrm flipH="1" flipV="1">
          <a:off x="10525125" y="6619875"/>
          <a:ext cx="323854" cy="323850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</xdr:colOff>
      <xdr:row>45</xdr:row>
      <xdr:rowOff>95251</xdr:rowOff>
    </xdr:from>
    <xdr:to>
      <xdr:col>15</xdr:col>
      <xdr:colOff>381000</xdr:colOff>
      <xdr:row>47</xdr:row>
      <xdr:rowOff>85725</xdr:rowOff>
    </xdr:to>
    <xdr:cxnSp macro="">
      <xdr:nvCxnSpPr>
        <xdr:cNvPr id="89" name="Straight Arrow Connector 88"/>
        <xdr:cNvCxnSpPr/>
      </xdr:nvCxnSpPr>
      <xdr:spPr>
        <a:xfrm>
          <a:off x="2286001" y="5448301"/>
          <a:ext cx="380999" cy="380999"/>
        </a:xfrm>
        <a:prstGeom prst="straightConnector1">
          <a:avLst/>
        </a:prstGeom>
        <a:ln w="127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432024</xdr:colOff>
      <xdr:row>46</xdr:row>
      <xdr:rowOff>53731</xdr:rowOff>
    </xdr:from>
    <xdr:to>
      <xdr:col>19</xdr:col>
      <xdr:colOff>481091</xdr:colOff>
      <xdr:row>50</xdr:row>
      <xdr:rowOff>121675</xdr:rowOff>
    </xdr:to>
    <xdr:sp macro="" textlink="$AJ$32">
      <xdr:nvSpPr>
        <xdr:cNvPr id="93" name="Up Arrow 92"/>
        <xdr:cNvSpPr/>
      </xdr:nvSpPr>
      <xdr:spPr>
        <a:xfrm rot="8005354">
          <a:off x="11471586" y="7273594"/>
          <a:ext cx="829944" cy="1268267"/>
        </a:xfrm>
        <a:prstGeom prst="upArrow">
          <a:avLst>
            <a:gd name="adj1" fmla="val 48148"/>
            <a:gd name="adj2" fmla="val 50000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0"/>
        <a:lstStyle/>
        <a:p>
          <a:pPr marL="0" indent="0" algn="ctr"/>
          <a:fld id="{49C0B3C3-D1FC-4143-873D-B4B50077FB31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pPr marL="0" indent="0" algn="ctr"/>
            <a:t>40,586 CFM</a:t>
          </a:fld>
          <a:endParaRPr lang="en-US" sz="1100" b="1" i="0" u="none" strike="noStrike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251180</xdr:colOff>
      <xdr:row>47</xdr:row>
      <xdr:rowOff>44648</xdr:rowOff>
    </xdr:from>
    <xdr:to>
      <xdr:col>18</xdr:col>
      <xdr:colOff>411610</xdr:colOff>
      <xdr:row>50</xdr:row>
      <xdr:rowOff>25690</xdr:rowOff>
    </xdr:to>
    <xdr:sp macro="" textlink="$AJ$33">
      <xdr:nvSpPr>
        <xdr:cNvPr id="94" name="Rectangle 93"/>
        <xdr:cNvSpPr/>
      </xdr:nvSpPr>
      <xdr:spPr>
        <a:xfrm rot="2797657">
          <a:off x="13094849" y="7565429"/>
          <a:ext cx="552542" cy="1604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t"/>
        <a:lstStyle/>
        <a:p>
          <a:pPr marL="0" indent="0" algn="l"/>
          <a:fld id="{6F808B20-4AC8-4582-9F13-BA3ACC60738D}" type="TxLink">
            <a:rPr lang="en-US" sz="1000" b="0" i="0" u="none" strike="noStrike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pPr marL="0" indent="0" algn="l"/>
            <a:t>4.1%</a:t>
          </a:fld>
          <a:endParaRPr lang="en-US" sz="1000" b="0" i="0" u="none" strike="noStrike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11261</xdr:colOff>
      <xdr:row>29</xdr:row>
      <xdr:rowOff>107645</xdr:rowOff>
    </xdr:from>
    <xdr:to>
      <xdr:col>16</xdr:col>
      <xdr:colOff>285750</xdr:colOff>
      <xdr:row>45</xdr:row>
      <xdr:rowOff>47625</xdr:rowOff>
    </xdr:to>
    <xdr:sp macro="" textlink="">
      <xdr:nvSpPr>
        <xdr:cNvPr id="98" name="Freeform 97"/>
        <xdr:cNvSpPr/>
      </xdr:nvSpPr>
      <xdr:spPr>
        <a:xfrm>
          <a:off x="10222061" y="6270320"/>
          <a:ext cx="274489" cy="721030"/>
        </a:xfrm>
        <a:custGeom>
          <a:avLst/>
          <a:gdLst>
            <a:gd name="connsiteX0" fmla="*/ 274489 w 274489"/>
            <a:gd name="connsiteY0" fmla="*/ 130480 h 740080"/>
            <a:gd name="connsiteX1" fmla="*/ 217339 w 274489"/>
            <a:gd name="connsiteY1" fmla="*/ 6655 h 740080"/>
            <a:gd name="connsiteX2" fmla="*/ 93514 w 274489"/>
            <a:gd name="connsiteY2" fmla="*/ 25705 h 740080"/>
            <a:gd name="connsiteX3" fmla="*/ 45889 w 274489"/>
            <a:gd name="connsiteY3" fmla="*/ 101905 h 740080"/>
            <a:gd name="connsiteX4" fmla="*/ 45889 w 274489"/>
            <a:gd name="connsiteY4" fmla="*/ 254305 h 740080"/>
            <a:gd name="connsiteX5" fmla="*/ 74464 w 274489"/>
            <a:gd name="connsiteY5" fmla="*/ 359080 h 740080"/>
            <a:gd name="connsiteX6" fmla="*/ 36364 w 274489"/>
            <a:gd name="connsiteY6" fmla="*/ 549580 h 740080"/>
            <a:gd name="connsiteX7" fmla="*/ 26839 w 274489"/>
            <a:gd name="connsiteY7" fmla="*/ 740080 h 7400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74489" h="740080">
              <a:moveTo>
                <a:pt x="274489" y="130480"/>
              </a:moveTo>
              <a:cubicBezTo>
                <a:pt x="260995" y="77298"/>
                <a:pt x="247501" y="24117"/>
                <a:pt x="217339" y="6655"/>
              </a:cubicBezTo>
              <a:cubicBezTo>
                <a:pt x="187177" y="-10807"/>
                <a:pt x="122089" y="9830"/>
                <a:pt x="93514" y="25705"/>
              </a:cubicBezTo>
              <a:cubicBezTo>
                <a:pt x="64939" y="41580"/>
                <a:pt x="53826" y="63805"/>
                <a:pt x="45889" y="101905"/>
              </a:cubicBezTo>
              <a:cubicBezTo>
                <a:pt x="37952" y="140005"/>
                <a:pt x="41126" y="211443"/>
                <a:pt x="45889" y="254305"/>
              </a:cubicBezTo>
              <a:cubicBezTo>
                <a:pt x="50651" y="297168"/>
                <a:pt x="76051" y="309868"/>
                <a:pt x="74464" y="359080"/>
              </a:cubicBezTo>
              <a:cubicBezTo>
                <a:pt x="72877" y="408292"/>
                <a:pt x="44301" y="486080"/>
                <a:pt x="36364" y="549580"/>
              </a:cubicBezTo>
              <a:cubicBezTo>
                <a:pt x="28427" y="613080"/>
                <a:pt x="-35074" y="708330"/>
                <a:pt x="26839" y="740080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170221</xdr:colOff>
      <xdr:row>29</xdr:row>
      <xdr:rowOff>134638</xdr:rowOff>
    </xdr:from>
    <xdr:to>
      <xdr:col>17</xdr:col>
      <xdr:colOff>152400</xdr:colOff>
      <xdr:row>32</xdr:row>
      <xdr:rowOff>68791</xdr:rowOff>
    </xdr:to>
    <xdr:sp macro="" textlink="">
      <xdr:nvSpPr>
        <xdr:cNvPr id="99" name="Freeform 98"/>
        <xdr:cNvSpPr/>
      </xdr:nvSpPr>
      <xdr:spPr>
        <a:xfrm>
          <a:off x="10381021" y="6297313"/>
          <a:ext cx="591779" cy="524703"/>
        </a:xfrm>
        <a:custGeom>
          <a:avLst/>
          <a:gdLst>
            <a:gd name="connsiteX0" fmla="*/ 1229 w 591779"/>
            <a:gd name="connsiteY0" fmla="*/ 103487 h 534228"/>
            <a:gd name="connsiteX1" fmla="*/ 29804 w 591779"/>
            <a:gd name="connsiteY1" fmla="*/ 8237 h 534228"/>
            <a:gd name="connsiteX2" fmla="*/ 201254 w 591779"/>
            <a:gd name="connsiteY2" fmla="*/ 8237 h 534228"/>
            <a:gd name="connsiteX3" fmla="*/ 296504 w 591779"/>
            <a:gd name="connsiteY3" fmla="*/ 36812 h 534228"/>
            <a:gd name="connsiteX4" fmla="*/ 439379 w 591779"/>
            <a:gd name="connsiteY4" fmla="*/ 74912 h 534228"/>
            <a:gd name="connsiteX5" fmla="*/ 439379 w 591779"/>
            <a:gd name="connsiteY5" fmla="*/ 113012 h 534228"/>
            <a:gd name="connsiteX6" fmla="*/ 420329 w 591779"/>
            <a:gd name="connsiteY6" fmla="*/ 189212 h 534228"/>
            <a:gd name="connsiteX7" fmla="*/ 487004 w 591779"/>
            <a:gd name="connsiteY7" fmla="*/ 265412 h 534228"/>
            <a:gd name="connsiteX8" fmla="*/ 487004 w 591779"/>
            <a:gd name="connsiteY8" fmla="*/ 360662 h 534228"/>
            <a:gd name="connsiteX9" fmla="*/ 477479 w 591779"/>
            <a:gd name="connsiteY9" fmla="*/ 503537 h 534228"/>
            <a:gd name="connsiteX10" fmla="*/ 563204 w 591779"/>
            <a:gd name="connsiteY10" fmla="*/ 532112 h 534228"/>
            <a:gd name="connsiteX11" fmla="*/ 591779 w 591779"/>
            <a:gd name="connsiteY11" fmla="*/ 532112 h 5342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1779" h="534228">
              <a:moveTo>
                <a:pt x="1229" y="103487"/>
              </a:moveTo>
              <a:cubicBezTo>
                <a:pt x="-1152" y="63799"/>
                <a:pt x="-3533" y="24112"/>
                <a:pt x="29804" y="8237"/>
              </a:cubicBezTo>
              <a:cubicBezTo>
                <a:pt x="63141" y="-7638"/>
                <a:pt x="156804" y="3474"/>
                <a:pt x="201254" y="8237"/>
              </a:cubicBezTo>
              <a:cubicBezTo>
                <a:pt x="245704" y="12999"/>
                <a:pt x="256817" y="25699"/>
                <a:pt x="296504" y="36812"/>
              </a:cubicBezTo>
              <a:cubicBezTo>
                <a:pt x="336192" y="47924"/>
                <a:pt x="415567" y="62212"/>
                <a:pt x="439379" y="74912"/>
              </a:cubicBezTo>
              <a:cubicBezTo>
                <a:pt x="463192" y="87612"/>
                <a:pt x="442554" y="93962"/>
                <a:pt x="439379" y="113012"/>
              </a:cubicBezTo>
              <a:cubicBezTo>
                <a:pt x="436204" y="132062"/>
                <a:pt x="412392" y="163812"/>
                <a:pt x="420329" y="189212"/>
              </a:cubicBezTo>
              <a:cubicBezTo>
                <a:pt x="428266" y="214612"/>
                <a:pt x="475892" y="236837"/>
                <a:pt x="487004" y="265412"/>
              </a:cubicBezTo>
              <a:cubicBezTo>
                <a:pt x="498116" y="293987"/>
                <a:pt x="488591" y="320975"/>
                <a:pt x="487004" y="360662"/>
              </a:cubicBezTo>
              <a:cubicBezTo>
                <a:pt x="485417" y="400349"/>
                <a:pt x="464779" y="474962"/>
                <a:pt x="477479" y="503537"/>
              </a:cubicBezTo>
              <a:cubicBezTo>
                <a:pt x="490179" y="532112"/>
                <a:pt x="544154" y="527350"/>
                <a:pt x="563204" y="532112"/>
              </a:cubicBezTo>
              <a:cubicBezTo>
                <a:pt x="582254" y="536874"/>
                <a:pt x="591779" y="532112"/>
                <a:pt x="591779" y="53211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16</xdr:col>
      <xdr:colOff>123825</xdr:colOff>
      <xdr:row>30</xdr:row>
      <xdr:rowOff>28575</xdr:rowOff>
    </xdr:from>
    <xdr:ext cx="419100" cy="571500"/>
    <xdr:sp macro="" textlink="$AI$29">
      <xdr:nvSpPr>
        <xdr:cNvPr id="100" name="Rectangle 99"/>
        <xdr:cNvSpPr/>
      </xdr:nvSpPr>
      <xdr:spPr>
        <a:xfrm>
          <a:off x="10334625" y="6381750"/>
          <a:ext cx="419100" cy="5715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EB8BF800-9E4F-40FF-8C73-B86DBB4BE388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-85 Pa</a:t>
          </a:fld>
          <a:endParaRPr lang="en-US" sz="600" b="1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18</xdr:col>
      <xdr:colOff>180975</xdr:colOff>
      <xdr:row>31</xdr:row>
      <xdr:rowOff>9323</xdr:rowOff>
    </xdr:from>
    <xdr:to>
      <xdr:col>18</xdr:col>
      <xdr:colOff>495300</xdr:colOff>
      <xdr:row>32</xdr:row>
      <xdr:rowOff>190500</xdr:rowOff>
    </xdr:to>
    <xdr:sp macro="" textlink="">
      <xdr:nvSpPr>
        <xdr:cNvPr id="101" name="Freeform 100"/>
        <xdr:cNvSpPr/>
      </xdr:nvSpPr>
      <xdr:spPr>
        <a:xfrm>
          <a:off x="4295775" y="4962323"/>
          <a:ext cx="314325" cy="381202"/>
        </a:xfrm>
        <a:custGeom>
          <a:avLst/>
          <a:gdLst>
            <a:gd name="connsiteX0" fmla="*/ 314325 w 314325"/>
            <a:gd name="connsiteY0" fmla="*/ 152602 h 381202"/>
            <a:gd name="connsiteX1" fmla="*/ 276225 w 314325"/>
            <a:gd name="connsiteY1" fmla="*/ 57352 h 381202"/>
            <a:gd name="connsiteX2" fmla="*/ 171450 w 314325"/>
            <a:gd name="connsiteY2" fmla="*/ 202 h 381202"/>
            <a:gd name="connsiteX3" fmla="*/ 85725 w 314325"/>
            <a:gd name="connsiteY3" fmla="*/ 76402 h 381202"/>
            <a:gd name="connsiteX4" fmla="*/ 76200 w 314325"/>
            <a:gd name="connsiteY4" fmla="*/ 219277 h 381202"/>
            <a:gd name="connsiteX5" fmla="*/ 47625 w 314325"/>
            <a:gd name="connsiteY5" fmla="*/ 333577 h 381202"/>
            <a:gd name="connsiteX6" fmla="*/ 0 w 314325"/>
            <a:gd name="connsiteY6" fmla="*/ 381202 h 3812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14325" h="381202">
              <a:moveTo>
                <a:pt x="314325" y="152602"/>
              </a:moveTo>
              <a:cubicBezTo>
                <a:pt x="307181" y="117677"/>
                <a:pt x="300037" y="82752"/>
                <a:pt x="276225" y="57352"/>
              </a:cubicBezTo>
              <a:cubicBezTo>
                <a:pt x="252412" y="31952"/>
                <a:pt x="203200" y="-2973"/>
                <a:pt x="171450" y="202"/>
              </a:cubicBezTo>
              <a:cubicBezTo>
                <a:pt x="139700" y="3377"/>
                <a:pt x="101600" y="39889"/>
                <a:pt x="85725" y="76402"/>
              </a:cubicBezTo>
              <a:cubicBezTo>
                <a:pt x="69850" y="112914"/>
                <a:pt x="82550" y="176415"/>
                <a:pt x="76200" y="219277"/>
              </a:cubicBezTo>
              <a:cubicBezTo>
                <a:pt x="69850" y="262139"/>
                <a:pt x="60325" y="306590"/>
                <a:pt x="47625" y="333577"/>
              </a:cubicBezTo>
              <a:cubicBezTo>
                <a:pt x="34925" y="360564"/>
                <a:pt x="3175" y="371677"/>
                <a:pt x="0" y="38120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66675</xdr:colOff>
      <xdr:row>28</xdr:row>
      <xdr:rowOff>95250</xdr:rowOff>
    </xdr:from>
    <xdr:to>
      <xdr:col>21</xdr:col>
      <xdr:colOff>57150</xdr:colOff>
      <xdr:row>29</xdr:row>
      <xdr:rowOff>171450</xdr:rowOff>
    </xdr:to>
    <xdr:sp macro="" textlink="$M$6">
      <xdr:nvSpPr>
        <xdr:cNvPr id="2" name="Rectangle 1"/>
        <xdr:cNvSpPr/>
      </xdr:nvSpPr>
      <xdr:spPr>
        <a:xfrm>
          <a:off x="12106275" y="6057900"/>
          <a:ext cx="120967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E288EA43-7E80-4715-8F06-2515CDEDFFB7}" type="TxLink">
            <a:rPr lang="en-US" sz="1200" b="1" i="0" u="none" strike="noStrike">
              <a:solidFill>
                <a:schemeClr val="bg2">
                  <a:lumMod val="25000"/>
                </a:schemeClr>
              </a:solidFill>
              <a:latin typeface="Calibri"/>
            </a:rPr>
            <a:pPr algn="ctr"/>
            <a:t>28 sq ft</a:t>
          </a:fld>
          <a:endParaRPr lang="en-US" sz="12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7</xdr:col>
      <xdr:colOff>95250</xdr:colOff>
      <xdr:row>28</xdr:row>
      <xdr:rowOff>104775</xdr:rowOff>
    </xdr:from>
    <xdr:to>
      <xdr:col>9</xdr:col>
      <xdr:colOff>19050</xdr:colOff>
      <xdr:row>29</xdr:row>
      <xdr:rowOff>123825</xdr:rowOff>
    </xdr:to>
    <xdr:sp macro="" textlink="$M$6">
      <xdr:nvSpPr>
        <xdr:cNvPr id="67" name="Rectangle 66"/>
        <xdr:cNvSpPr/>
      </xdr:nvSpPr>
      <xdr:spPr>
        <a:xfrm>
          <a:off x="4819650" y="6067425"/>
          <a:ext cx="114300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E288EA43-7E80-4715-8F06-2515CDEDFFB7}" type="TxLink">
            <a:rPr lang="en-US" sz="1200" b="1" i="0" u="none" strike="noStrike">
              <a:solidFill>
                <a:schemeClr val="bg2">
                  <a:lumMod val="25000"/>
                </a:schemeClr>
              </a:solidFill>
              <a:latin typeface="Calibri"/>
            </a:rPr>
            <a:pPr algn="ctr"/>
            <a:t>28 sq ft</a:t>
          </a:fld>
          <a:endParaRPr lang="en-US" sz="12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2</xdr:col>
      <xdr:colOff>333374</xdr:colOff>
      <xdr:row>8</xdr:row>
      <xdr:rowOff>176123</xdr:rowOff>
    </xdr:from>
    <xdr:to>
      <xdr:col>3</xdr:col>
      <xdr:colOff>362414</xdr:colOff>
      <xdr:row>47</xdr:row>
      <xdr:rowOff>3</xdr:rowOff>
    </xdr:to>
    <xdr:sp macro="" textlink="">
      <xdr:nvSpPr>
        <xdr:cNvPr id="114" name="Parallelogram 113"/>
        <xdr:cNvSpPr/>
      </xdr:nvSpPr>
      <xdr:spPr>
        <a:xfrm rot="5400000">
          <a:off x="47985" y="4396964"/>
          <a:ext cx="5125355" cy="725991"/>
        </a:xfrm>
        <a:prstGeom prst="parallelogram">
          <a:avLst>
            <a:gd name="adj" fmla="val 101238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</xdr:col>
      <xdr:colOff>609600</xdr:colOff>
      <xdr:row>12</xdr:row>
      <xdr:rowOff>193136</xdr:rowOff>
    </xdr:from>
    <xdr:to>
      <xdr:col>4</xdr:col>
      <xdr:colOff>104775</xdr:colOff>
      <xdr:row>14</xdr:row>
      <xdr:rowOff>28575</xdr:rowOff>
    </xdr:to>
    <xdr:sp macro="" textlink="">
      <xdr:nvSpPr>
        <xdr:cNvPr id="56" name="Freeform 55"/>
        <xdr:cNvSpPr/>
      </xdr:nvSpPr>
      <xdr:spPr>
        <a:xfrm>
          <a:off x="1590675" y="3279236"/>
          <a:ext cx="1409700" cy="235489"/>
        </a:xfrm>
        <a:custGeom>
          <a:avLst/>
          <a:gdLst>
            <a:gd name="connsiteX0" fmla="*/ 1409700 w 1409700"/>
            <a:gd name="connsiteY0" fmla="*/ 92614 h 235489"/>
            <a:gd name="connsiteX1" fmla="*/ 1362075 w 1409700"/>
            <a:gd name="connsiteY1" fmla="*/ 16414 h 235489"/>
            <a:gd name="connsiteX2" fmla="*/ 1276350 w 1409700"/>
            <a:gd name="connsiteY2" fmla="*/ 6889 h 235489"/>
            <a:gd name="connsiteX3" fmla="*/ 885825 w 1409700"/>
            <a:gd name="connsiteY3" fmla="*/ 16414 h 235489"/>
            <a:gd name="connsiteX4" fmla="*/ 457200 w 1409700"/>
            <a:gd name="connsiteY4" fmla="*/ 187864 h 235489"/>
            <a:gd name="connsiteX5" fmla="*/ 0 w 1409700"/>
            <a:gd name="connsiteY5" fmla="*/ 235489 h 2354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409700" h="235489">
              <a:moveTo>
                <a:pt x="1409700" y="92614"/>
              </a:moveTo>
              <a:cubicBezTo>
                <a:pt x="1397000" y="61658"/>
                <a:pt x="1384300" y="30702"/>
                <a:pt x="1362075" y="16414"/>
              </a:cubicBezTo>
              <a:cubicBezTo>
                <a:pt x="1339850" y="2126"/>
                <a:pt x="1355725" y="6889"/>
                <a:pt x="1276350" y="6889"/>
              </a:cubicBezTo>
              <a:cubicBezTo>
                <a:pt x="1196975" y="6889"/>
                <a:pt x="1022350" y="-13748"/>
                <a:pt x="885825" y="16414"/>
              </a:cubicBezTo>
              <a:cubicBezTo>
                <a:pt x="749300" y="46576"/>
                <a:pt x="604837" y="151352"/>
                <a:pt x="457200" y="187864"/>
              </a:cubicBezTo>
              <a:cubicBezTo>
                <a:pt x="309562" y="224377"/>
                <a:pt x="6350" y="203739"/>
                <a:pt x="0" y="235489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495176</xdr:colOff>
      <xdr:row>13</xdr:row>
      <xdr:rowOff>142875</xdr:rowOff>
    </xdr:from>
    <xdr:to>
      <xdr:col>18</xdr:col>
      <xdr:colOff>9525</xdr:colOff>
      <xdr:row>48</xdr:row>
      <xdr:rowOff>28574</xdr:rowOff>
    </xdr:to>
    <xdr:sp macro="" textlink="">
      <xdr:nvSpPr>
        <xdr:cNvPr id="96" name="Freeform 95"/>
        <xdr:cNvSpPr/>
      </xdr:nvSpPr>
      <xdr:spPr>
        <a:xfrm>
          <a:off x="10096376" y="3429000"/>
          <a:ext cx="1343149" cy="4419599"/>
        </a:xfrm>
        <a:custGeom>
          <a:avLst/>
          <a:gdLst>
            <a:gd name="connsiteX0" fmla="*/ 1228849 w 1228849"/>
            <a:gd name="connsiteY0" fmla="*/ 68155 h 5316430"/>
            <a:gd name="connsiteX1" fmla="*/ 1047874 w 1228849"/>
            <a:gd name="connsiteY1" fmla="*/ 1480 h 5316430"/>
            <a:gd name="connsiteX2" fmla="*/ 971674 w 1228849"/>
            <a:gd name="connsiteY2" fmla="*/ 125305 h 5316430"/>
            <a:gd name="connsiteX3" fmla="*/ 943099 w 1228849"/>
            <a:gd name="connsiteY3" fmla="*/ 363430 h 5316430"/>
            <a:gd name="connsiteX4" fmla="*/ 876424 w 1228849"/>
            <a:gd name="connsiteY4" fmla="*/ 572980 h 5316430"/>
            <a:gd name="connsiteX5" fmla="*/ 514474 w 1228849"/>
            <a:gd name="connsiteY5" fmla="*/ 639655 h 5316430"/>
            <a:gd name="connsiteX6" fmla="*/ 104899 w 1228849"/>
            <a:gd name="connsiteY6" fmla="*/ 649180 h 5316430"/>
            <a:gd name="connsiteX7" fmla="*/ 9649 w 1228849"/>
            <a:gd name="connsiteY7" fmla="*/ 696805 h 5316430"/>
            <a:gd name="connsiteX8" fmla="*/ 9649 w 1228849"/>
            <a:gd name="connsiteY8" fmla="*/ 982555 h 5316430"/>
            <a:gd name="connsiteX9" fmla="*/ 57274 w 1228849"/>
            <a:gd name="connsiteY9" fmla="*/ 1392130 h 5316430"/>
            <a:gd name="connsiteX10" fmla="*/ 124 w 1228849"/>
            <a:gd name="connsiteY10" fmla="*/ 1896955 h 5316430"/>
            <a:gd name="connsiteX11" fmla="*/ 76324 w 1228849"/>
            <a:gd name="connsiteY11" fmla="*/ 2678005 h 5316430"/>
            <a:gd name="connsiteX12" fmla="*/ 19174 w 1228849"/>
            <a:gd name="connsiteY12" fmla="*/ 2954230 h 5316430"/>
            <a:gd name="connsiteX13" fmla="*/ 9649 w 1228849"/>
            <a:gd name="connsiteY13" fmla="*/ 3582880 h 5316430"/>
            <a:gd name="connsiteX14" fmla="*/ 76324 w 1228849"/>
            <a:gd name="connsiteY14" fmla="*/ 4173430 h 5316430"/>
            <a:gd name="connsiteX15" fmla="*/ 28699 w 1228849"/>
            <a:gd name="connsiteY15" fmla="*/ 4583005 h 5316430"/>
            <a:gd name="connsiteX16" fmla="*/ 85849 w 1228849"/>
            <a:gd name="connsiteY16" fmla="*/ 4640155 h 5316430"/>
            <a:gd name="connsiteX17" fmla="*/ 333499 w 1228849"/>
            <a:gd name="connsiteY17" fmla="*/ 4630630 h 5316430"/>
            <a:gd name="connsiteX18" fmla="*/ 666874 w 1228849"/>
            <a:gd name="connsiteY18" fmla="*/ 4687780 h 5316430"/>
            <a:gd name="connsiteX19" fmla="*/ 962149 w 1228849"/>
            <a:gd name="connsiteY19" fmla="*/ 4906855 h 5316430"/>
            <a:gd name="connsiteX20" fmla="*/ 1047874 w 1228849"/>
            <a:gd name="connsiteY20" fmla="*/ 5125930 h 5316430"/>
            <a:gd name="connsiteX21" fmla="*/ 1047874 w 1228849"/>
            <a:gd name="connsiteY21" fmla="*/ 5316430 h 53164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1228849" h="5316430">
              <a:moveTo>
                <a:pt x="1228849" y="68155"/>
              </a:moveTo>
              <a:cubicBezTo>
                <a:pt x="1159792" y="30055"/>
                <a:pt x="1090736" y="-8045"/>
                <a:pt x="1047874" y="1480"/>
              </a:cubicBezTo>
              <a:cubicBezTo>
                <a:pt x="1005012" y="11005"/>
                <a:pt x="989136" y="64980"/>
                <a:pt x="971674" y="125305"/>
              </a:cubicBezTo>
              <a:cubicBezTo>
                <a:pt x="954212" y="185630"/>
                <a:pt x="958974" y="288818"/>
                <a:pt x="943099" y="363430"/>
              </a:cubicBezTo>
              <a:cubicBezTo>
                <a:pt x="927224" y="438042"/>
                <a:pt x="947861" y="526943"/>
                <a:pt x="876424" y="572980"/>
              </a:cubicBezTo>
              <a:cubicBezTo>
                <a:pt x="804987" y="619017"/>
                <a:pt x="643061" y="626955"/>
                <a:pt x="514474" y="639655"/>
              </a:cubicBezTo>
              <a:cubicBezTo>
                <a:pt x="385887" y="652355"/>
                <a:pt x="189036" y="639655"/>
                <a:pt x="104899" y="649180"/>
              </a:cubicBezTo>
              <a:cubicBezTo>
                <a:pt x="20761" y="658705"/>
                <a:pt x="25524" y="641243"/>
                <a:pt x="9649" y="696805"/>
              </a:cubicBezTo>
              <a:cubicBezTo>
                <a:pt x="-6226" y="752367"/>
                <a:pt x="1712" y="866668"/>
                <a:pt x="9649" y="982555"/>
              </a:cubicBezTo>
              <a:cubicBezTo>
                <a:pt x="17586" y="1098442"/>
                <a:pt x="58861" y="1239730"/>
                <a:pt x="57274" y="1392130"/>
              </a:cubicBezTo>
              <a:cubicBezTo>
                <a:pt x="55687" y="1544530"/>
                <a:pt x="-3051" y="1682643"/>
                <a:pt x="124" y="1896955"/>
              </a:cubicBezTo>
              <a:cubicBezTo>
                <a:pt x="3299" y="2111267"/>
                <a:pt x="73149" y="2501793"/>
                <a:pt x="76324" y="2678005"/>
              </a:cubicBezTo>
              <a:cubicBezTo>
                <a:pt x="79499" y="2854217"/>
                <a:pt x="30287" y="2803417"/>
                <a:pt x="19174" y="2954230"/>
              </a:cubicBezTo>
              <a:cubicBezTo>
                <a:pt x="8061" y="3105043"/>
                <a:pt x="124" y="3379680"/>
                <a:pt x="9649" y="3582880"/>
              </a:cubicBezTo>
              <a:cubicBezTo>
                <a:pt x="19174" y="3786080"/>
                <a:pt x="73149" y="4006743"/>
                <a:pt x="76324" y="4173430"/>
              </a:cubicBezTo>
              <a:cubicBezTo>
                <a:pt x="79499" y="4340117"/>
                <a:pt x="27112" y="4505218"/>
                <a:pt x="28699" y="4583005"/>
              </a:cubicBezTo>
              <a:cubicBezTo>
                <a:pt x="30286" y="4660792"/>
                <a:pt x="35049" y="4632217"/>
                <a:pt x="85849" y="4640155"/>
              </a:cubicBezTo>
              <a:cubicBezTo>
                <a:pt x="136649" y="4648093"/>
                <a:pt x="236661" y="4622693"/>
                <a:pt x="333499" y="4630630"/>
              </a:cubicBezTo>
              <a:cubicBezTo>
                <a:pt x="430336" y="4638568"/>
                <a:pt x="562099" y="4641743"/>
                <a:pt x="666874" y="4687780"/>
              </a:cubicBezTo>
              <a:cubicBezTo>
                <a:pt x="771649" y="4733818"/>
                <a:pt x="898649" y="4833830"/>
                <a:pt x="962149" y="4906855"/>
              </a:cubicBezTo>
              <a:cubicBezTo>
                <a:pt x="1025649" y="4979880"/>
                <a:pt x="1033587" y="5057668"/>
                <a:pt x="1047874" y="5125930"/>
              </a:cubicBezTo>
              <a:cubicBezTo>
                <a:pt x="1062161" y="5194192"/>
                <a:pt x="1047874" y="5316430"/>
                <a:pt x="1047874" y="5316430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457200</xdr:colOff>
      <xdr:row>13</xdr:row>
      <xdr:rowOff>108643</xdr:rowOff>
    </xdr:from>
    <xdr:to>
      <xdr:col>18</xdr:col>
      <xdr:colOff>552450</xdr:colOff>
      <xdr:row>15</xdr:row>
      <xdr:rowOff>47625</xdr:rowOff>
    </xdr:to>
    <xdr:sp macro="" textlink="">
      <xdr:nvSpPr>
        <xdr:cNvPr id="95" name="Freeform 94"/>
        <xdr:cNvSpPr/>
      </xdr:nvSpPr>
      <xdr:spPr>
        <a:xfrm>
          <a:off x="11277600" y="3394768"/>
          <a:ext cx="704850" cy="339032"/>
        </a:xfrm>
        <a:custGeom>
          <a:avLst/>
          <a:gdLst>
            <a:gd name="connsiteX0" fmla="*/ 0 w 704850"/>
            <a:gd name="connsiteY0" fmla="*/ 91382 h 339032"/>
            <a:gd name="connsiteX1" fmla="*/ 66675 w 704850"/>
            <a:gd name="connsiteY1" fmla="*/ 5657 h 339032"/>
            <a:gd name="connsiteX2" fmla="*/ 285750 w 704850"/>
            <a:gd name="connsiteY2" fmla="*/ 15182 h 339032"/>
            <a:gd name="connsiteX3" fmla="*/ 438150 w 704850"/>
            <a:gd name="connsiteY3" fmla="*/ 72332 h 339032"/>
            <a:gd name="connsiteX4" fmla="*/ 495300 w 704850"/>
            <a:gd name="connsiteY4" fmla="*/ 224732 h 339032"/>
            <a:gd name="connsiteX5" fmla="*/ 704850 w 704850"/>
            <a:gd name="connsiteY5" fmla="*/ 339032 h 3390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704850" h="339032">
              <a:moveTo>
                <a:pt x="0" y="91382"/>
              </a:moveTo>
              <a:cubicBezTo>
                <a:pt x="9525" y="54869"/>
                <a:pt x="19050" y="18357"/>
                <a:pt x="66675" y="5657"/>
              </a:cubicBezTo>
              <a:cubicBezTo>
                <a:pt x="114300" y="-7043"/>
                <a:pt x="223837" y="4069"/>
                <a:pt x="285750" y="15182"/>
              </a:cubicBezTo>
              <a:cubicBezTo>
                <a:pt x="347663" y="26295"/>
                <a:pt x="403225" y="37407"/>
                <a:pt x="438150" y="72332"/>
              </a:cubicBezTo>
              <a:cubicBezTo>
                <a:pt x="473075" y="107257"/>
                <a:pt x="450850" y="180282"/>
                <a:pt x="495300" y="224732"/>
              </a:cubicBezTo>
              <a:cubicBezTo>
                <a:pt x="539750" y="269182"/>
                <a:pt x="671513" y="324745"/>
                <a:pt x="704850" y="339032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371475</xdr:colOff>
      <xdr:row>31</xdr:row>
      <xdr:rowOff>85725</xdr:rowOff>
    </xdr:from>
    <xdr:to>
      <xdr:col>18</xdr:col>
      <xdr:colOff>123825</xdr:colOff>
      <xdr:row>47</xdr:row>
      <xdr:rowOff>19050</xdr:rowOff>
    </xdr:to>
    <xdr:sp macro="" textlink="">
      <xdr:nvSpPr>
        <xdr:cNvPr id="81" name="Rectangle 80"/>
        <xdr:cNvSpPr/>
      </xdr:nvSpPr>
      <xdr:spPr>
        <a:xfrm>
          <a:off x="11191875" y="6924675"/>
          <a:ext cx="361950" cy="7239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609600</xdr:colOff>
      <xdr:row>13</xdr:row>
      <xdr:rowOff>7649</xdr:rowOff>
    </xdr:from>
    <xdr:to>
      <xdr:col>16</xdr:col>
      <xdr:colOff>104775</xdr:colOff>
      <xdr:row>14</xdr:row>
      <xdr:rowOff>43614</xdr:rowOff>
    </xdr:to>
    <xdr:sp macro="" textlink="">
      <xdr:nvSpPr>
        <xdr:cNvPr id="91" name="Freeform 90"/>
        <xdr:cNvSpPr/>
      </xdr:nvSpPr>
      <xdr:spPr>
        <a:xfrm>
          <a:off x="8926429" y="3090741"/>
          <a:ext cx="1415214" cy="236491"/>
        </a:xfrm>
        <a:custGeom>
          <a:avLst/>
          <a:gdLst>
            <a:gd name="connsiteX0" fmla="*/ 1409700 w 1409700"/>
            <a:gd name="connsiteY0" fmla="*/ 92614 h 235489"/>
            <a:gd name="connsiteX1" fmla="*/ 1362075 w 1409700"/>
            <a:gd name="connsiteY1" fmla="*/ 16414 h 235489"/>
            <a:gd name="connsiteX2" fmla="*/ 1276350 w 1409700"/>
            <a:gd name="connsiteY2" fmla="*/ 6889 h 235489"/>
            <a:gd name="connsiteX3" fmla="*/ 885825 w 1409700"/>
            <a:gd name="connsiteY3" fmla="*/ 16414 h 235489"/>
            <a:gd name="connsiteX4" fmla="*/ 457200 w 1409700"/>
            <a:gd name="connsiteY4" fmla="*/ 187864 h 235489"/>
            <a:gd name="connsiteX5" fmla="*/ 0 w 1409700"/>
            <a:gd name="connsiteY5" fmla="*/ 235489 h 2354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409700" h="235489">
              <a:moveTo>
                <a:pt x="1409700" y="92614"/>
              </a:moveTo>
              <a:cubicBezTo>
                <a:pt x="1397000" y="61658"/>
                <a:pt x="1384300" y="30702"/>
                <a:pt x="1362075" y="16414"/>
              </a:cubicBezTo>
              <a:cubicBezTo>
                <a:pt x="1339850" y="2126"/>
                <a:pt x="1355725" y="6889"/>
                <a:pt x="1276350" y="6889"/>
              </a:cubicBezTo>
              <a:cubicBezTo>
                <a:pt x="1196975" y="6889"/>
                <a:pt x="1022350" y="-13748"/>
                <a:pt x="885825" y="16414"/>
              </a:cubicBezTo>
              <a:cubicBezTo>
                <a:pt x="749300" y="46576"/>
                <a:pt x="604837" y="151352"/>
                <a:pt x="457200" y="187864"/>
              </a:cubicBezTo>
              <a:cubicBezTo>
                <a:pt x="309562" y="224377"/>
                <a:pt x="6350" y="203739"/>
                <a:pt x="0" y="235489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28575</xdr:colOff>
      <xdr:row>13</xdr:row>
      <xdr:rowOff>21023</xdr:rowOff>
    </xdr:from>
    <xdr:to>
      <xdr:col>17</xdr:col>
      <xdr:colOff>219075</xdr:colOff>
      <xdr:row>14</xdr:row>
      <xdr:rowOff>61944</xdr:rowOff>
    </xdr:to>
    <xdr:sp macro="" textlink="">
      <xdr:nvSpPr>
        <xdr:cNvPr id="92" name="Freeform 91"/>
        <xdr:cNvSpPr/>
      </xdr:nvSpPr>
      <xdr:spPr>
        <a:xfrm>
          <a:off x="10265443" y="3104115"/>
          <a:ext cx="802106" cy="241447"/>
        </a:xfrm>
        <a:custGeom>
          <a:avLst/>
          <a:gdLst>
            <a:gd name="connsiteX0" fmla="*/ 0 w 914400"/>
            <a:gd name="connsiteY0" fmla="*/ 70216 h 240946"/>
            <a:gd name="connsiteX1" fmla="*/ 142875 w 914400"/>
            <a:gd name="connsiteY1" fmla="*/ 3541 h 240946"/>
            <a:gd name="connsiteX2" fmla="*/ 504825 w 914400"/>
            <a:gd name="connsiteY2" fmla="*/ 32116 h 240946"/>
            <a:gd name="connsiteX3" fmla="*/ 638175 w 914400"/>
            <a:gd name="connsiteY3" fmla="*/ 222616 h 240946"/>
            <a:gd name="connsiteX4" fmla="*/ 914400 w 914400"/>
            <a:gd name="connsiteY4" fmla="*/ 222616 h 2409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240946">
              <a:moveTo>
                <a:pt x="0" y="70216"/>
              </a:moveTo>
              <a:cubicBezTo>
                <a:pt x="29369" y="40053"/>
                <a:pt x="58738" y="9891"/>
                <a:pt x="142875" y="3541"/>
              </a:cubicBezTo>
              <a:cubicBezTo>
                <a:pt x="227012" y="-2809"/>
                <a:pt x="422275" y="-4396"/>
                <a:pt x="504825" y="32116"/>
              </a:cubicBezTo>
              <a:cubicBezTo>
                <a:pt x="587375" y="68628"/>
                <a:pt x="569913" y="190866"/>
                <a:pt x="638175" y="222616"/>
              </a:cubicBezTo>
              <a:cubicBezTo>
                <a:pt x="706438" y="254366"/>
                <a:pt x="847725" y="238491"/>
                <a:pt x="914400" y="222616"/>
              </a:cubicBezTo>
            </a:path>
          </a:pathLst>
        </a:cu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15</xdr:col>
      <xdr:colOff>590551</xdr:colOff>
      <xdr:row>13</xdr:row>
      <xdr:rowOff>100763</xdr:rowOff>
    </xdr:from>
    <xdr:ext cx="428624" cy="523875"/>
    <xdr:sp macro="" textlink="$AI$25">
      <xdr:nvSpPr>
        <xdr:cNvPr id="90" name="Rectangle 89"/>
        <xdr:cNvSpPr/>
      </xdr:nvSpPr>
      <xdr:spPr>
        <a:xfrm>
          <a:off x="10215814" y="3183855"/>
          <a:ext cx="428624" cy="523875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456C10A6-7D20-49ED-8D13-66016A591EAA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-64 Pa</a:t>
          </a:fld>
          <a:endParaRPr lang="en-US" sz="1050" b="1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400049</xdr:colOff>
      <xdr:row>13</xdr:row>
      <xdr:rowOff>180975</xdr:rowOff>
    </xdr:from>
    <xdr:ext cx="428626" cy="571500"/>
    <xdr:sp macro="" textlink="$AI$26">
      <xdr:nvSpPr>
        <xdr:cNvPr id="97" name="Rectangle 96"/>
        <xdr:cNvSpPr/>
      </xdr:nvSpPr>
      <xdr:spPr>
        <a:xfrm>
          <a:off x="11220449" y="3467100"/>
          <a:ext cx="428626" cy="5715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2264F7EC-E2AE-4350-8AE3-3AD998B40703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-67 Pa</a:t>
          </a:fld>
          <a:endParaRPr lang="en-US" sz="1000" b="1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305798</xdr:colOff>
      <xdr:row>12</xdr:row>
      <xdr:rowOff>9528</xdr:rowOff>
    </xdr:from>
    <xdr:to>
      <xdr:col>7</xdr:col>
      <xdr:colOff>553449</xdr:colOff>
      <xdr:row>15</xdr:row>
      <xdr:rowOff>104777</xdr:rowOff>
    </xdr:to>
    <xdr:sp macro="" textlink="">
      <xdr:nvSpPr>
        <xdr:cNvPr id="78" name="Parallelogram 77"/>
        <xdr:cNvSpPr/>
      </xdr:nvSpPr>
      <xdr:spPr>
        <a:xfrm rot="5400000">
          <a:off x="5473112" y="3043239"/>
          <a:ext cx="695324" cy="247651"/>
        </a:xfrm>
        <a:prstGeom prst="parallelogram">
          <a:avLst>
            <a:gd name="adj" fmla="val 101238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blipFill dpi="0"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</a:endParaRPr>
        </a:p>
      </xdr:txBody>
    </xdr:sp>
    <xdr:clientData/>
  </xdr:twoCellAnchor>
  <xdr:twoCellAnchor>
    <xdr:from>
      <xdr:col>2</xdr:col>
      <xdr:colOff>329364</xdr:colOff>
      <xdr:row>8</xdr:row>
      <xdr:rowOff>168930</xdr:rowOff>
    </xdr:from>
    <xdr:to>
      <xdr:col>9</xdr:col>
      <xdr:colOff>68114</xdr:colOff>
      <xdr:row>12</xdr:row>
      <xdr:rowOff>147364</xdr:rowOff>
    </xdr:to>
    <xdr:sp macro="" textlink="">
      <xdr:nvSpPr>
        <xdr:cNvPr id="6" name="Parallelogram 5"/>
        <xdr:cNvSpPr/>
      </xdr:nvSpPr>
      <xdr:spPr>
        <a:xfrm flipV="1">
          <a:off x="2243657" y="2190089"/>
          <a:ext cx="4617408" cy="768312"/>
        </a:xfrm>
        <a:prstGeom prst="parallelogram">
          <a:avLst>
            <a:gd name="adj" fmla="val 94980"/>
          </a:avLst>
        </a:prstGeom>
        <a:gradFill flip="none" rotWithShape="1">
          <a:gsLst>
            <a:gs pos="0">
              <a:schemeClr val="bg2">
                <a:shade val="30000"/>
                <a:satMod val="115000"/>
              </a:schemeClr>
            </a:gs>
            <a:gs pos="50000">
              <a:schemeClr val="bg2">
                <a:shade val="67500"/>
                <a:satMod val="115000"/>
              </a:schemeClr>
            </a:gs>
            <a:gs pos="100000">
              <a:schemeClr val="bg2">
                <a:shade val="100000"/>
                <a:satMod val="115000"/>
              </a:schemeClr>
            </a:gs>
          </a:gsLst>
          <a:lin ang="8100000" scaled="1"/>
          <a:tileRect/>
        </a:gra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18</xdr:col>
      <xdr:colOff>541092</xdr:colOff>
      <xdr:row>30</xdr:row>
      <xdr:rowOff>165270</xdr:rowOff>
    </xdr:from>
    <xdr:to>
      <xdr:col>20</xdr:col>
      <xdr:colOff>304800</xdr:colOff>
      <xdr:row>32</xdr:row>
      <xdr:rowOff>19050</xdr:rowOff>
    </xdr:to>
    <xdr:sp macro="" textlink="">
      <xdr:nvSpPr>
        <xdr:cNvPr id="103" name="Freeform 102"/>
        <xdr:cNvSpPr/>
      </xdr:nvSpPr>
      <xdr:spPr>
        <a:xfrm>
          <a:off x="4655892" y="4908720"/>
          <a:ext cx="982908" cy="263355"/>
        </a:xfrm>
        <a:custGeom>
          <a:avLst/>
          <a:gdLst>
            <a:gd name="connsiteX0" fmla="*/ 1833 w 982908"/>
            <a:gd name="connsiteY0" fmla="*/ 177630 h 263355"/>
            <a:gd name="connsiteX1" fmla="*/ 30408 w 982908"/>
            <a:gd name="connsiteY1" fmla="*/ 6180 h 263355"/>
            <a:gd name="connsiteX2" fmla="*/ 211383 w 982908"/>
            <a:gd name="connsiteY2" fmla="*/ 53805 h 263355"/>
            <a:gd name="connsiteX3" fmla="*/ 354258 w 982908"/>
            <a:gd name="connsiteY3" fmla="*/ 206205 h 263355"/>
            <a:gd name="connsiteX4" fmla="*/ 611433 w 982908"/>
            <a:gd name="connsiteY4" fmla="*/ 253830 h 263355"/>
            <a:gd name="connsiteX5" fmla="*/ 982908 w 982908"/>
            <a:gd name="connsiteY5" fmla="*/ 263355 h 2633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82908" h="263355">
              <a:moveTo>
                <a:pt x="1833" y="177630"/>
              </a:moveTo>
              <a:cubicBezTo>
                <a:pt x="-1342" y="102224"/>
                <a:pt x="-4517" y="26818"/>
                <a:pt x="30408" y="6180"/>
              </a:cubicBezTo>
              <a:cubicBezTo>
                <a:pt x="65333" y="-14458"/>
                <a:pt x="157408" y="20468"/>
                <a:pt x="211383" y="53805"/>
              </a:cubicBezTo>
              <a:cubicBezTo>
                <a:pt x="265358" y="87142"/>
                <a:pt x="287583" y="172867"/>
                <a:pt x="354258" y="206205"/>
              </a:cubicBezTo>
              <a:cubicBezTo>
                <a:pt x="420933" y="239543"/>
                <a:pt x="506658" y="244305"/>
                <a:pt x="611433" y="253830"/>
              </a:cubicBezTo>
              <a:cubicBezTo>
                <a:pt x="716208" y="263355"/>
                <a:pt x="882896" y="260180"/>
                <a:pt x="982908" y="263355"/>
              </a:cubicBezTo>
            </a:path>
          </a:pathLst>
        </a:cu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18</xdr:col>
      <xdr:colOff>371475</xdr:colOff>
      <xdr:row>31</xdr:row>
      <xdr:rowOff>104775</xdr:rowOff>
    </xdr:from>
    <xdr:ext cx="428626" cy="571500"/>
    <xdr:sp macro="" textlink="$AI$28">
      <xdr:nvSpPr>
        <xdr:cNvPr id="102" name="Rectangle 101"/>
        <xdr:cNvSpPr/>
      </xdr:nvSpPr>
      <xdr:spPr>
        <a:xfrm>
          <a:off x="4486275" y="5057775"/>
          <a:ext cx="428626" cy="5715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fld id="{7AE309DB-F2EC-4068-9732-E441EF261C21}" type="TxLink">
            <a:rPr lang="en-US" sz="1200" b="1" i="0" u="none" strike="noStrike">
              <a:ln>
                <a:noFill/>
              </a:ln>
              <a:solidFill>
                <a:schemeClr val="bg1"/>
              </a:solidFill>
              <a:latin typeface="Calibri"/>
            </a:rPr>
            <a:pPr algn="ctr"/>
            <a:t>18 Pa</a:t>
          </a:fld>
          <a:endParaRPr lang="en-US" sz="1000" b="1">
            <a:ln>
              <a:noFill/>
            </a:ln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X54"/>
  <sheetViews>
    <sheetView showGridLines="0" tabSelected="1" zoomScaleNormal="100" workbookViewId="0">
      <selection activeCell="G52" sqref="G52"/>
    </sheetView>
  </sheetViews>
  <sheetFormatPr defaultColWidth="9.125" defaultRowHeight="15" x14ac:dyDescent="0.25"/>
  <cols>
    <col min="1" max="1" width="14.75" style="136" customWidth="1"/>
    <col min="2" max="2" width="10.375" style="136" customWidth="1"/>
    <col min="3" max="3" width="9.125" style="136" customWidth="1"/>
    <col min="4" max="9" width="9.125" style="136"/>
    <col min="10" max="10" width="4.375" style="136" customWidth="1"/>
    <col min="11" max="11" width="7" style="136" customWidth="1"/>
    <col min="12" max="12" width="9.125" style="136"/>
    <col min="13" max="13" width="14.75" style="136" customWidth="1"/>
    <col min="14" max="14" width="10.375" style="136" customWidth="1"/>
    <col min="15" max="15" width="9.125" style="136" customWidth="1"/>
    <col min="16" max="21" width="9.125" style="136"/>
    <col min="22" max="22" width="4.375" style="136" customWidth="1"/>
    <col min="23" max="23" width="7" style="136" customWidth="1"/>
    <col min="24" max="24" width="9.125" style="136"/>
    <col min="25" max="25" width="24" style="136" hidden="1" customWidth="1"/>
    <col min="26" max="26" width="8.25" style="136" hidden="1" customWidth="1"/>
    <col min="27" max="27" width="6.625" style="136" hidden="1" customWidth="1"/>
    <col min="28" max="28" width="7.25" style="136" hidden="1" customWidth="1"/>
    <col min="29" max="29" width="9.875" style="136" hidden="1" customWidth="1"/>
    <col min="30" max="30" width="25.125" style="136" hidden="1" customWidth="1"/>
    <col min="31" max="31" width="12.875" style="136" hidden="1" customWidth="1"/>
    <col min="32" max="32" width="11" style="136" hidden="1" customWidth="1"/>
    <col min="33" max="33" width="11.75" style="136" hidden="1" customWidth="1"/>
    <col min="34" max="34" width="5.625" style="136" hidden="1" customWidth="1"/>
    <col min="35" max="35" width="12.25" style="136" hidden="1" customWidth="1"/>
    <col min="36" max="36" width="11" style="136" hidden="1" customWidth="1"/>
    <col min="37" max="37" width="11.75" style="136" hidden="1" customWidth="1"/>
    <col min="38" max="38" width="9.375" style="136" hidden="1" customWidth="1"/>
    <col min="39" max="39" width="8.75" style="136" hidden="1" customWidth="1"/>
    <col min="40" max="40" width="8" style="136" hidden="1" customWidth="1"/>
    <col min="41" max="41" width="6.625" style="136" hidden="1" customWidth="1"/>
    <col min="42" max="42" width="6.125" style="136" hidden="1" customWidth="1"/>
    <col min="43" max="43" width="3.25" style="136" hidden="1" customWidth="1"/>
    <col min="44" max="44" width="4.875" style="136" hidden="1" customWidth="1"/>
    <col min="45" max="45" width="6.625" style="136" hidden="1" customWidth="1"/>
    <col min="46" max="46" width="4.875" style="136" hidden="1" customWidth="1"/>
    <col min="47" max="47" width="6.625" style="136" hidden="1" customWidth="1"/>
    <col min="48" max="48" width="4.875" style="136" hidden="1" customWidth="1"/>
    <col min="49" max="49" width="6.625" style="136" hidden="1" customWidth="1"/>
    <col min="50" max="50" width="4.875" style="136" hidden="1" customWidth="1"/>
    <col min="51" max="51" width="6.625" style="136" hidden="1" customWidth="1"/>
    <col min="52" max="52" width="4.875" style="136" hidden="1" customWidth="1"/>
    <col min="53" max="53" width="6.625" style="136" bestFit="1" customWidth="1"/>
    <col min="54" max="54" width="4.875" style="136" bestFit="1" customWidth="1"/>
    <col min="55" max="55" width="6.625" style="136" bestFit="1" customWidth="1"/>
    <col min="56" max="56" width="4.875" style="136" bestFit="1" customWidth="1"/>
    <col min="57" max="57" width="6.625" style="136" bestFit="1" customWidth="1"/>
    <col min="58" max="58" width="4.875" style="136" bestFit="1" customWidth="1"/>
    <col min="59" max="59" width="6.625" style="136" bestFit="1" customWidth="1"/>
    <col min="60" max="60" width="4.875" style="136" bestFit="1" customWidth="1"/>
    <col min="61" max="61" width="6.625" style="136" bestFit="1" customWidth="1"/>
    <col min="62" max="62" width="4.875" style="136" bestFit="1" customWidth="1"/>
    <col min="63" max="63" width="6.625" style="136" bestFit="1" customWidth="1"/>
    <col min="64" max="64" width="4.875" style="136" bestFit="1" customWidth="1"/>
    <col min="65" max="65" width="6.625" style="136" bestFit="1" customWidth="1"/>
    <col min="66" max="66" width="4.875" style="136" bestFit="1" customWidth="1"/>
    <col min="67" max="67" width="6.625" style="136" bestFit="1" customWidth="1"/>
    <col min="68" max="68" width="4.875" style="136" bestFit="1" customWidth="1"/>
    <col min="69" max="69" width="6.625" style="136" bestFit="1" customWidth="1"/>
    <col min="70" max="70" width="4.875" style="136" bestFit="1" customWidth="1"/>
    <col min="71" max="71" width="6.625" style="136" bestFit="1" customWidth="1"/>
    <col min="72" max="72" width="4.875" style="136" bestFit="1" customWidth="1"/>
    <col min="73" max="73" width="6.625" style="136" bestFit="1" customWidth="1"/>
    <col min="74" max="16384" width="9.125" style="136"/>
  </cols>
  <sheetData>
    <row r="1" spans="1:51" ht="54" customHeight="1" x14ac:dyDescent="0.25">
      <c r="A1" s="288" t="s">
        <v>65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79"/>
      <c r="O1" s="279"/>
      <c r="P1" s="278"/>
      <c r="Q1" s="278"/>
      <c r="R1" s="278"/>
      <c r="S1" s="278"/>
      <c r="T1" s="278"/>
      <c r="U1" s="278"/>
      <c r="V1" s="276"/>
    </row>
    <row r="2" spans="1:51" x14ac:dyDescent="0.25">
      <c r="A2" s="284" t="s">
        <v>67</v>
      </c>
      <c r="F2"/>
    </row>
    <row r="3" spans="1:51" x14ac:dyDescent="0.25">
      <c r="D3"/>
      <c r="F3"/>
    </row>
    <row r="4" spans="1:51" x14ac:dyDescent="0.25">
      <c r="B4" s="271"/>
      <c r="C4" s="271"/>
      <c r="D4" s="271"/>
      <c r="E4" s="271"/>
      <c r="F4" s="271"/>
      <c r="L4" s="137" t="s">
        <v>64</v>
      </c>
      <c r="M4" s="289">
        <v>0.25</v>
      </c>
    </row>
    <row r="5" spans="1:51" x14ac:dyDescent="0.25">
      <c r="B5" s="271"/>
      <c r="C5" s="271"/>
      <c r="D5" s="271"/>
      <c r="E5" s="271"/>
      <c r="F5" s="271"/>
      <c r="L5" s="137" t="s">
        <v>62</v>
      </c>
      <c r="M5" s="290">
        <v>-10</v>
      </c>
    </row>
    <row r="6" spans="1:51" x14ac:dyDescent="0.25">
      <c r="L6" s="137" t="s">
        <v>63</v>
      </c>
      <c r="M6" s="291">
        <v>28</v>
      </c>
      <c r="P6" s="137"/>
    </row>
    <row r="7" spans="1:51" x14ac:dyDescent="0.25">
      <c r="L7" s="137"/>
      <c r="M7"/>
      <c r="P7" s="137"/>
    </row>
    <row r="8" spans="1:51" x14ac:dyDescent="0.25">
      <c r="E8" s="137" t="s">
        <v>59</v>
      </c>
      <c r="F8" s="290">
        <v>75</v>
      </c>
      <c r="Q8" s="137" t="s">
        <v>60</v>
      </c>
      <c r="R8" s="283">
        <f>-F8</f>
        <v>-75</v>
      </c>
    </row>
    <row r="10" spans="1:51" ht="15.75" thickBot="1" x14ac:dyDescent="0.3">
      <c r="AC10" s="136" t="s">
        <v>28</v>
      </c>
      <c r="AE10" s="136" t="s">
        <v>27</v>
      </c>
      <c r="AF10" s="136" t="s">
        <v>26</v>
      </c>
      <c r="AG10" s="136" t="s">
        <v>25</v>
      </c>
      <c r="AH10" s="136" t="s">
        <v>24</v>
      </c>
      <c r="AI10" s="136" t="s">
        <v>23</v>
      </c>
      <c r="AN10" s="138"/>
      <c r="AO10" s="139"/>
      <c r="AP10" s="138"/>
      <c r="AQ10" s="139"/>
      <c r="AR10" s="138"/>
      <c r="AS10" s="139"/>
      <c r="AT10" s="138"/>
      <c r="AU10" s="139"/>
      <c r="AV10" s="138"/>
      <c r="AW10" s="139"/>
      <c r="AX10" s="138"/>
      <c r="AY10" s="139"/>
    </row>
    <row r="11" spans="1:51" ht="15.75" thickBot="1" x14ac:dyDescent="0.3">
      <c r="Z11" s="136" t="s">
        <v>22</v>
      </c>
      <c r="AA11" s="136" t="s">
        <v>21</v>
      </c>
      <c r="AB11" s="136" t="s">
        <v>20</v>
      </c>
      <c r="AC11" s="136" t="s">
        <v>18</v>
      </c>
      <c r="AD11" s="140" t="s">
        <v>55</v>
      </c>
      <c r="AE11" s="136" t="s">
        <v>18</v>
      </c>
      <c r="AF11" s="136" t="s">
        <v>18</v>
      </c>
      <c r="AG11" s="136" t="s">
        <v>18</v>
      </c>
      <c r="AH11" s="136" t="s">
        <v>18</v>
      </c>
      <c r="AI11" s="141">
        <f>F8</f>
        <v>75</v>
      </c>
      <c r="AJ11" s="142" t="s">
        <v>8</v>
      </c>
    </row>
    <row r="12" spans="1:51" ht="15.75" thickBot="1" x14ac:dyDescent="0.3">
      <c r="Y12" s="136" t="s">
        <v>17</v>
      </c>
      <c r="Z12" s="143">
        <f>G52</f>
        <v>300</v>
      </c>
      <c r="AA12" s="143">
        <f>C46</f>
        <v>120</v>
      </c>
      <c r="AB12" s="135">
        <f>B22</f>
        <v>100</v>
      </c>
      <c r="AC12" s="144">
        <f>(G52*2+C46*2)*B22</f>
        <v>84000</v>
      </c>
      <c r="AD12" s="144"/>
      <c r="AE12" s="144">
        <f>G52*C46*2</f>
        <v>72000</v>
      </c>
      <c r="AF12" s="144"/>
      <c r="AG12" s="145">
        <f>AE12+AC12</f>
        <v>156000</v>
      </c>
      <c r="AH12" s="146">
        <f>M4</f>
        <v>0.25</v>
      </c>
      <c r="AI12" s="147">
        <f>AH12*AG12</f>
        <v>39000</v>
      </c>
      <c r="AJ12" s="148">
        <f>(AI12/AI11^0.6)</f>
        <v>2924.3398941694477</v>
      </c>
    </row>
    <row r="13" spans="1:51" ht="15.75" thickBot="1" x14ac:dyDescent="0.3">
      <c r="Y13" s="136" t="s">
        <v>16</v>
      </c>
      <c r="Z13" s="140"/>
      <c r="AA13" s="140"/>
      <c r="AB13" s="140"/>
      <c r="AC13" s="140"/>
      <c r="AD13" s="140"/>
      <c r="AE13" s="140"/>
      <c r="AF13" s="140"/>
      <c r="AG13" s="149"/>
      <c r="AH13" s="140"/>
      <c r="AI13" s="147"/>
      <c r="AJ13" s="150">
        <f>AJ12-AJ14</f>
        <v>2013.2955425243504</v>
      </c>
    </row>
    <row r="14" spans="1:51" ht="15.75" thickBot="1" x14ac:dyDescent="0.3">
      <c r="Y14" s="136" t="s">
        <v>15</v>
      </c>
      <c r="Z14" s="140"/>
      <c r="AA14" s="140"/>
      <c r="AB14" s="135">
        <f>K32</f>
        <v>15</v>
      </c>
      <c r="AC14" s="144">
        <f>(G52*2+C46*2)*K32</f>
        <v>12600</v>
      </c>
      <c r="AD14" s="144"/>
      <c r="AE14" s="144"/>
      <c r="AF14" s="144">
        <f>G52*C46</f>
        <v>36000</v>
      </c>
      <c r="AG14" s="145">
        <f>AF14+AC14</f>
        <v>48600</v>
      </c>
      <c r="AH14" s="151">
        <f>AH12</f>
        <v>0.25</v>
      </c>
      <c r="AI14" s="144">
        <f>AH14*AG14</f>
        <v>12150</v>
      </c>
      <c r="AJ14" s="152">
        <f>(AI14/75^0.6)</f>
        <v>911.04435164509721</v>
      </c>
      <c r="AK14" s="136" t="s">
        <v>56</v>
      </c>
    </row>
    <row r="15" spans="1:51" ht="15.75" thickBot="1" x14ac:dyDescent="0.3">
      <c r="Y15" s="136" t="s">
        <v>4</v>
      </c>
      <c r="Z15" s="153">
        <v>2</v>
      </c>
      <c r="AA15" s="149"/>
      <c r="AB15" s="154">
        <v>7</v>
      </c>
      <c r="AC15" s="140"/>
      <c r="AD15" s="155">
        <v>2</v>
      </c>
      <c r="AE15" s="140"/>
      <c r="AG15" s="156">
        <f>M6</f>
        <v>28</v>
      </c>
      <c r="AI15" s="144"/>
      <c r="AJ15" s="148"/>
    </row>
    <row r="16" spans="1:51" ht="15.75" thickBot="1" x14ac:dyDescent="0.3">
      <c r="Y16" s="157" t="s">
        <v>36</v>
      </c>
      <c r="Z16" s="140"/>
      <c r="AA16" s="140"/>
      <c r="AB16" s="140"/>
      <c r="AC16" s="140"/>
      <c r="AD16" s="140"/>
      <c r="AE16" s="140"/>
      <c r="AG16" s="155">
        <v>0</v>
      </c>
      <c r="AI16" s="140"/>
      <c r="AJ16" s="148"/>
    </row>
    <row r="17" spans="1:76" x14ac:dyDescent="0.25">
      <c r="L17" s="158"/>
      <c r="X17" s="158"/>
      <c r="Y17" s="136" t="s">
        <v>3</v>
      </c>
      <c r="Z17" s="140"/>
      <c r="AA17" s="140"/>
      <c r="AB17" s="140"/>
      <c r="AC17" s="140"/>
      <c r="AD17" s="140"/>
      <c r="AE17" s="140"/>
      <c r="AF17" s="140"/>
      <c r="AG17" s="140">
        <f>SUM(AG15:AG16)</f>
        <v>28</v>
      </c>
      <c r="AH17" s="140"/>
      <c r="AI17" s="140"/>
      <c r="AJ17" s="148">
        <f>AG17*144*1.075</f>
        <v>4334.3999999999996</v>
      </c>
      <c r="AL17" s="159"/>
    </row>
    <row r="18" spans="1:76" ht="15.75" thickBot="1" x14ac:dyDescent="0.3"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8"/>
      <c r="AL18" s="159"/>
    </row>
    <row r="19" spans="1:76" ht="15.75" thickBot="1" x14ac:dyDescent="0.3">
      <c r="Z19" s="160"/>
      <c r="AA19" s="161" t="s">
        <v>57</v>
      </c>
      <c r="AB19" s="161"/>
      <c r="AC19" s="162"/>
      <c r="AE19" s="163"/>
      <c r="AF19" s="164" t="s">
        <v>34</v>
      </c>
      <c r="AG19" s="165"/>
      <c r="AH19" s="165"/>
      <c r="AI19" s="166"/>
      <c r="AJ19" s="167"/>
      <c r="AK19" s="168"/>
    </row>
    <row r="20" spans="1:76" x14ac:dyDescent="0.25">
      <c r="Z20" s="136" t="s">
        <v>11</v>
      </c>
      <c r="AA20" s="136" t="s">
        <v>13</v>
      </c>
      <c r="AC20" s="136" t="s">
        <v>12</v>
      </c>
      <c r="AE20" s="169" t="s">
        <v>43</v>
      </c>
      <c r="AF20" s="140" t="s">
        <v>7</v>
      </c>
      <c r="AG20" s="170" t="s">
        <v>10</v>
      </c>
      <c r="AI20" s="171" t="s">
        <v>44</v>
      </c>
      <c r="AJ20" s="140" t="s">
        <v>7</v>
      </c>
      <c r="AK20" s="170" t="s">
        <v>10</v>
      </c>
    </row>
    <row r="21" spans="1:76" ht="15.75" thickBot="1" x14ac:dyDescent="0.3">
      <c r="Z21" s="136" t="s">
        <v>6</v>
      </c>
      <c r="AA21" s="140" t="s">
        <v>9</v>
      </c>
      <c r="AB21" s="140" t="s">
        <v>8</v>
      </c>
      <c r="AC21" s="140" t="s">
        <v>7</v>
      </c>
      <c r="AE21" s="172"/>
      <c r="AF21" s="140" t="s">
        <v>0</v>
      </c>
      <c r="AG21" s="136" t="s">
        <v>14</v>
      </c>
      <c r="AI21" s="173"/>
      <c r="AJ21" s="140" t="s">
        <v>0</v>
      </c>
      <c r="AK21" s="136" t="s">
        <v>14</v>
      </c>
    </row>
    <row r="22" spans="1:76" ht="15.75" thickBot="1" x14ac:dyDescent="0.3">
      <c r="B22" s="292">
        <v>100</v>
      </c>
      <c r="N22" s="282">
        <f>B22</f>
        <v>100</v>
      </c>
      <c r="AA22" s="140"/>
      <c r="AB22" s="140"/>
      <c r="AC22" s="140"/>
    </row>
    <row r="23" spans="1:76" ht="15.75" thickBot="1" x14ac:dyDescent="0.3">
      <c r="Z23" s="174" t="s">
        <v>12</v>
      </c>
      <c r="AE23" s="175"/>
      <c r="AF23" s="176"/>
      <c r="AG23" s="177"/>
      <c r="AH23" s="176" t="s">
        <v>51</v>
      </c>
      <c r="AI23" s="178"/>
      <c r="AJ23" s="179"/>
      <c r="AK23" s="180"/>
      <c r="AO23" s="157"/>
    </row>
    <row r="24" spans="1:76" customFormat="1" ht="15.75" thickBot="1" x14ac:dyDescent="0.3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81"/>
      <c r="Z24" s="182"/>
      <c r="AA24" s="183"/>
      <c r="AB24" s="183"/>
      <c r="AC24" s="184"/>
      <c r="AD24" s="181" t="s">
        <v>5</v>
      </c>
      <c r="AE24" s="141">
        <f>F8</f>
        <v>75</v>
      </c>
      <c r="AF24" s="185">
        <f>AF25-AF28</f>
        <v>0</v>
      </c>
      <c r="AG24" s="186"/>
      <c r="AH24" s="136"/>
      <c r="AI24" s="134">
        <f>R8</f>
        <v>-75</v>
      </c>
      <c r="AJ24" s="187"/>
      <c r="AK24" s="188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9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</row>
    <row r="25" spans="1:76" customFormat="1" x14ac:dyDescent="0.25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81" t="s">
        <v>37</v>
      </c>
      <c r="Z25" s="191">
        <f>-SIGN(Z29)*(ABS(Z29)^AA29*AB29/AB25)^(1/AA25)</f>
        <v>2.6671860631139217</v>
      </c>
      <c r="AA25" s="192">
        <v>0.6</v>
      </c>
      <c r="AB25" s="193">
        <f>AJ13</f>
        <v>2013.2955425243504</v>
      </c>
      <c r="AC25" s="194">
        <f>ABS(Z25)^AA25*AB25</f>
        <v>3626.9328908217503</v>
      </c>
      <c r="AD25" s="181" t="s">
        <v>50</v>
      </c>
      <c r="AE25" s="195">
        <f>AE29-AE28+Z25</f>
        <v>52.923321482228602</v>
      </c>
      <c r="AF25" s="196">
        <f>ABS(AE25)^AA25*AB25</f>
        <v>21781.901394733268</v>
      </c>
      <c r="AG25" s="197"/>
      <c r="AH25" s="136"/>
      <c r="AI25" s="198">
        <f>$Z25+$AI29+AI28</f>
        <v>-64.39348573552634</v>
      </c>
      <c r="AJ25" s="199">
        <f>ABS(AI25)^AA25*AB25</f>
        <v>24502.629485353016</v>
      </c>
      <c r="AK25" s="200"/>
      <c r="AL25" s="181"/>
      <c r="AM25" s="181"/>
      <c r="AN25" s="181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</row>
    <row r="26" spans="1:76" customFormat="1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81"/>
      <c r="Z26" s="191"/>
      <c r="AA26" s="192"/>
      <c r="AB26" s="193"/>
      <c r="AC26" s="194"/>
      <c r="AD26" s="181" t="s">
        <v>41</v>
      </c>
      <c r="AE26" s="195">
        <f>AE29-AE28</f>
        <v>50.256135419114678</v>
      </c>
      <c r="AF26" s="201"/>
      <c r="AG26" s="202"/>
      <c r="AH26" s="136"/>
      <c r="AI26" s="198">
        <f>AI29+AI28</f>
        <v>-67.060671798640257</v>
      </c>
      <c r="AJ26" s="203"/>
      <c r="AK26" s="200"/>
      <c r="AL26" s="181"/>
      <c r="AM26" s="181"/>
      <c r="AN26" s="181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</row>
    <row r="27" spans="1:76" customForma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81"/>
      <c r="Z27" s="191"/>
      <c r="AA27" s="192"/>
      <c r="AB27" s="193"/>
      <c r="AC27" s="194"/>
      <c r="AD27" s="204" t="s">
        <v>38</v>
      </c>
      <c r="AE27" s="205">
        <f>AE26-$Z29</f>
        <v>60.256135419114678</v>
      </c>
      <c r="AF27" s="201"/>
      <c r="AG27" s="202">
        <f>AE27/AE31-1</f>
        <v>-0.10900699280811843</v>
      </c>
      <c r="AH27" s="136"/>
      <c r="AI27" s="206">
        <f>AI26-$Z29</f>
        <v>-57.060671798640257</v>
      </c>
      <c r="AJ27" s="203"/>
      <c r="AK27" s="207">
        <f>AI27/AI31-1</f>
        <v>-0.13584156401016023</v>
      </c>
      <c r="AL27" s="181"/>
      <c r="AM27" s="181"/>
      <c r="AN27" s="208"/>
      <c r="AO27" s="209"/>
      <c r="AP27" s="208"/>
      <c r="AQ27" s="209"/>
      <c r="AR27" s="208"/>
      <c r="AS27" s="209"/>
      <c r="AT27" s="208"/>
      <c r="AU27" s="209"/>
      <c r="AV27" s="208"/>
      <c r="AW27" s="209"/>
      <c r="AX27" s="208"/>
      <c r="AY27" s="209"/>
      <c r="AZ27" s="208"/>
      <c r="BA27" s="209"/>
      <c r="BB27" s="208"/>
      <c r="BC27" s="209"/>
      <c r="BD27" s="208"/>
      <c r="BE27" s="209"/>
      <c r="BF27" s="208"/>
      <c r="BG27" s="209"/>
      <c r="BH27" s="208"/>
      <c r="BI27" s="209"/>
      <c r="BJ27" s="208"/>
      <c r="BK27" s="209"/>
      <c r="BL27" s="208"/>
      <c r="BM27" s="209"/>
      <c r="BN27" s="208"/>
      <c r="BO27" s="209"/>
      <c r="BP27" s="208"/>
      <c r="BQ27" s="209"/>
      <c r="BR27" s="208"/>
      <c r="BS27" s="209"/>
      <c r="BT27" s="208"/>
      <c r="BU27" s="209"/>
      <c r="BV27" s="181"/>
      <c r="BW27" s="181"/>
      <c r="BX27" s="181"/>
    </row>
    <row r="28" spans="1:76" customFormat="1" ht="15.75" thickBot="1" x14ac:dyDescent="0.3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81"/>
      <c r="Z28" s="191"/>
      <c r="AA28" s="192">
        <v>0.6</v>
      </c>
      <c r="AB28" s="193">
        <f>AJ17</f>
        <v>4334.3999999999996</v>
      </c>
      <c r="AC28" s="194"/>
      <c r="AD28" s="181" t="s">
        <v>49</v>
      </c>
      <c r="AE28" s="195">
        <f>(AE29+$Z25)/(1+$AB28^(1/$AA25)/$AB25^(1/$AA25))</f>
        <v>14.743864580885324</v>
      </c>
      <c r="AF28" s="196">
        <f>ABS(AE28)^AA28*AB28</f>
        <v>21781.901394733261</v>
      </c>
      <c r="AG28" s="197"/>
      <c r="AH28" s="136"/>
      <c r="AI28" s="198">
        <f>(-AI29-$Z25)/(1+$AB28^(1/$AA25)/$AB25^(1/$AA25))</f>
        <v>17.939328201359739</v>
      </c>
      <c r="AJ28" s="199">
        <f>ABS(AI28)^AA28*AB28</f>
        <v>24502.629485353023</v>
      </c>
      <c r="AK28" s="207"/>
      <c r="AL28" s="181"/>
      <c r="AM28" s="181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181"/>
      <c r="BW28" s="181"/>
      <c r="BX28" s="181"/>
    </row>
    <row r="29" spans="1:76" customFormat="1" ht="15.75" thickBot="1" x14ac:dyDescent="0.3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81" t="s">
        <v>35</v>
      </c>
      <c r="Z29" s="211">
        <f>M5</f>
        <v>-10</v>
      </c>
      <c r="AA29" s="212">
        <f>AA25</f>
        <v>0.6</v>
      </c>
      <c r="AB29" s="213">
        <f>AJ14</f>
        <v>911.04435164509721</v>
      </c>
      <c r="AC29" s="214">
        <f>ABS(Z29)^AA29*AB29</f>
        <v>3626.9328908217503</v>
      </c>
      <c r="AD29" s="181" t="s">
        <v>42</v>
      </c>
      <c r="AE29" s="195">
        <f>F8+Z29</f>
        <v>65</v>
      </c>
      <c r="AF29" s="196">
        <f>ABS(AE29)^AA29*AB29</f>
        <v>11150.32520225304</v>
      </c>
      <c r="AG29" s="197"/>
      <c r="AH29" s="136"/>
      <c r="AI29" s="198">
        <f>R8+Z29</f>
        <v>-85</v>
      </c>
      <c r="AJ29" s="199">
        <f>ABS(AI29)^AA29*AB29</f>
        <v>13097.574436692659</v>
      </c>
      <c r="AK29" s="207"/>
      <c r="AL29" s="181"/>
      <c r="AM29" s="181"/>
      <c r="AN29" s="208"/>
      <c r="AO29" s="209"/>
      <c r="AP29" s="208"/>
      <c r="AQ29" s="209"/>
      <c r="AR29" s="208"/>
      <c r="AS29" s="209"/>
      <c r="AT29" s="208"/>
      <c r="AU29" s="209"/>
      <c r="AV29" s="208"/>
      <c r="AW29" s="209"/>
      <c r="AX29" s="208"/>
      <c r="AY29" s="209"/>
      <c r="AZ29" s="208"/>
      <c r="BA29" s="209"/>
      <c r="BB29" s="208"/>
      <c r="BC29" s="209"/>
      <c r="BD29" s="208"/>
      <c r="BE29" s="209"/>
      <c r="BF29" s="208"/>
      <c r="BG29" s="209"/>
      <c r="BH29" s="208"/>
      <c r="BI29" s="209"/>
      <c r="BJ29" s="208"/>
      <c r="BK29" s="209"/>
      <c r="BL29" s="208"/>
      <c r="BM29" s="209"/>
      <c r="BN29" s="208"/>
      <c r="BO29" s="209"/>
      <c r="BP29" s="208"/>
      <c r="BQ29" s="209"/>
      <c r="BR29" s="208"/>
      <c r="BS29" s="209"/>
      <c r="BT29" s="208"/>
      <c r="BU29" s="209"/>
      <c r="BV29" s="181"/>
      <c r="BW29" s="181"/>
      <c r="BX29" s="181"/>
    </row>
    <row r="30" spans="1:76" customFormat="1" x14ac:dyDescent="0.2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81"/>
      <c r="Z30" s="181"/>
      <c r="AA30" s="181"/>
      <c r="AB30" s="181"/>
      <c r="AC30" s="181"/>
      <c r="AD30" s="215"/>
      <c r="AE30" s="216"/>
      <c r="AF30" s="196"/>
      <c r="AG30" s="202"/>
      <c r="AH30" s="136"/>
      <c r="AI30" s="217"/>
      <c r="AJ30" s="218"/>
      <c r="AK30" s="207"/>
      <c r="AL30" s="181"/>
      <c r="AM30" s="181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181"/>
      <c r="BW30" s="181"/>
      <c r="BX30" s="181"/>
    </row>
    <row r="31" spans="1:76" customFormat="1" ht="15.75" x14ac:dyDescent="0.2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81"/>
      <c r="Z31" s="181"/>
      <c r="AA31" s="181"/>
      <c r="AB31" s="136"/>
      <c r="AC31" s="181"/>
      <c r="AD31" s="181" t="s">
        <v>40</v>
      </c>
      <c r="AE31" s="219">
        <f>AVERAGE(AE27,AE32)</f>
        <v>67.628067709557342</v>
      </c>
      <c r="AF31" s="196">
        <f>AF29+AF25</f>
        <v>32932.226596986307</v>
      </c>
      <c r="AG31" s="220"/>
      <c r="AH31" s="136"/>
      <c r="AI31" s="221">
        <f>AVERAGE(AI26,AI29)-Z29</f>
        <v>-66.030335899320136</v>
      </c>
      <c r="AJ31" s="199">
        <f>AJ29+AJ25</f>
        <v>37600.203922045679</v>
      </c>
      <c r="AK31" s="207"/>
      <c r="AL31" s="181" t="s">
        <v>45</v>
      </c>
      <c r="AM31" s="222">
        <f>MAX(AF32,AJ32)</f>
        <v>40586.430199589158</v>
      </c>
      <c r="AN31" s="189" t="s">
        <v>46</v>
      </c>
      <c r="AO31" s="189"/>
      <c r="AP31" s="189"/>
      <c r="AQ31" s="223">
        <f>F8</f>
        <v>75</v>
      </c>
      <c r="AR31" s="189" t="s">
        <v>47</v>
      </c>
      <c r="AS31" s="189"/>
      <c r="AT31" s="189"/>
      <c r="AU31" s="189"/>
      <c r="AV31" s="189"/>
      <c r="AW31" s="189"/>
      <c r="AX31" s="189"/>
      <c r="AY31" s="189"/>
      <c r="AZ31" s="136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</row>
    <row r="32" spans="1:76" customFormat="1" ht="15.75" thickBot="1" x14ac:dyDescent="0.3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292">
        <v>15</v>
      </c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282">
        <f>K32</f>
        <v>15</v>
      </c>
      <c r="X32" s="136"/>
      <c r="Y32" s="181"/>
      <c r="Z32" s="181"/>
      <c r="AA32" s="181"/>
      <c r="AB32" s="136"/>
      <c r="AC32" s="181"/>
      <c r="AD32" s="215" t="s">
        <v>39</v>
      </c>
      <c r="AE32" s="224">
        <f>AE29-Z29</f>
        <v>75</v>
      </c>
      <c r="AF32" s="225">
        <f>AE32^AA25*AF31/AE31^AA25</f>
        <v>35041.417481181474</v>
      </c>
      <c r="AG32" s="226">
        <f>AE32/AE31-1</f>
        <v>0.10900699280811832</v>
      </c>
      <c r="AH32" s="136"/>
      <c r="AI32" s="227">
        <f>AI29-Z29</f>
        <v>-75</v>
      </c>
      <c r="AJ32" s="228">
        <f>ABS(AI32)^AA25*AJ31/ABS(AI31)^AA25</f>
        <v>40586.430199589158</v>
      </c>
      <c r="AK32" s="229">
        <f>AI32/AI31-1</f>
        <v>0.13584156401016001</v>
      </c>
      <c r="AL32" s="181" t="s">
        <v>2</v>
      </c>
      <c r="AM32" s="230">
        <f>AVERAGE(AF32,AJ32)</f>
        <v>37813.923840385316</v>
      </c>
      <c r="AN32" s="136" t="s">
        <v>0</v>
      </c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231"/>
      <c r="AZ32" s="136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</row>
    <row r="33" spans="3:73" x14ac:dyDescent="0.25">
      <c r="AD33" s="136" t="s">
        <v>1</v>
      </c>
      <c r="AF33" s="232">
        <f>AF32/$AM$45-1</f>
        <v>-0.10150211586714175</v>
      </c>
      <c r="AI33" s="149"/>
      <c r="AJ33" s="232">
        <f>AJ32/$AM$45-1</f>
        <v>4.0677697425363091E-2</v>
      </c>
      <c r="AM33" s="233">
        <f>AM32/AM45-1</f>
        <v>-3.0412209220889386E-2</v>
      </c>
      <c r="AN33" s="189" t="s">
        <v>48</v>
      </c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1"/>
      <c r="BN33" s="181"/>
      <c r="BO33" s="181"/>
      <c r="BP33" s="181"/>
      <c r="BQ33" s="181"/>
      <c r="BR33" s="181"/>
    </row>
    <row r="34" spans="3:73" ht="15.75" hidden="1" thickBot="1" x14ac:dyDescent="0.3">
      <c r="Z34" s="174" t="s">
        <v>52</v>
      </c>
      <c r="AE34" s="234"/>
      <c r="AF34" s="235"/>
      <c r="AG34" s="236"/>
      <c r="AH34" s="235" t="s">
        <v>32</v>
      </c>
      <c r="AI34" s="237"/>
      <c r="AJ34" s="238"/>
      <c r="AK34" s="239"/>
      <c r="AL34" s="181"/>
      <c r="AM34" s="181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1"/>
      <c r="BN34" s="181"/>
      <c r="BO34" s="181"/>
      <c r="BP34" s="181"/>
      <c r="BQ34" s="181"/>
      <c r="BR34" s="181"/>
    </row>
    <row r="35" spans="3:73" s="190" customFormat="1" ht="15.75" hidden="1" thickBot="1" x14ac:dyDescent="0.3">
      <c r="Y35" s="181"/>
      <c r="Z35" s="240"/>
      <c r="AA35" s="241"/>
      <c r="AB35" s="241"/>
      <c r="AC35" s="242"/>
      <c r="AD35" s="181" t="s">
        <v>5</v>
      </c>
      <c r="AE35" s="243">
        <f>F8</f>
        <v>75</v>
      </c>
      <c r="AF35" s="185"/>
      <c r="AG35" s="186"/>
      <c r="AH35" s="136"/>
      <c r="AI35" s="244">
        <f>R8</f>
        <v>-75</v>
      </c>
      <c r="AJ35" s="187"/>
      <c r="AK35" s="188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36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1"/>
      <c r="BN35" s="181"/>
      <c r="BO35" s="181"/>
      <c r="BP35" s="181"/>
      <c r="BQ35" s="181"/>
      <c r="BR35" s="181"/>
      <c r="BS35" s="181"/>
      <c r="BT35" s="181"/>
      <c r="BU35" s="181"/>
    </row>
    <row r="36" spans="3:73" s="190" customFormat="1" ht="15.75" hidden="1" thickBot="1" x14ac:dyDescent="0.3">
      <c r="Y36" s="181"/>
      <c r="Z36" s="245">
        <f>-SIGN(Z41)*(ABS(Z41)^AA41*AB41/AB36)^(1/AA36)</f>
        <v>0</v>
      </c>
      <c r="AA36" s="246">
        <v>0.6</v>
      </c>
      <c r="AB36" s="247">
        <f>AJ13</f>
        <v>2013.2955425243504</v>
      </c>
      <c r="AC36" s="248">
        <f>ABS(Z36)^AA36*AB36</f>
        <v>0</v>
      </c>
      <c r="AD36" s="181" t="s">
        <v>50</v>
      </c>
      <c r="AE36" s="219">
        <f>AE40-AE39</f>
        <v>58.658403608877464</v>
      </c>
      <c r="AF36" s="196">
        <f>ABS(AE36)^AA36*AB36</f>
        <v>23168.913901893156</v>
      </c>
      <c r="AG36" s="197"/>
      <c r="AH36" s="136"/>
      <c r="AI36" s="221">
        <f>$Z36+$AI41+AI39</f>
        <v>-58.658403608877464</v>
      </c>
      <c r="AJ36" s="249">
        <f>ABS(AI36)^AA36*AB36</f>
        <v>23168.913901893156</v>
      </c>
      <c r="AK36" s="200"/>
      <c r="AL36" s="181"/>
      <c r="AM36" s="181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36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1"/>
      <c r="BN36" s="181"/>
      <c r="BO36" s="181"/>
      <c r="BP36" s="181"/>
      <c r="BQ36" s="181"/>
      <c r="BR36" s="181"/>
      <c r="BS36" s="181"/>
      <c r="BT36" s="181"/>
      <c r="BU36" s="181"/>
    </row>
    <row r="37" spans="3:73" s="190" customFormat="1" ht="16.5" hidden="1" thickBot="1" x14ac:dyDescent="0.3">
      <c r="Y37" s="181"/>
      <c r="Z37" s="245">
        <f>Z41</f>
        <v>0</v>
      </c>
      <c r="AA37" s="250"/>
      <c r="AB37" s="247"/>
      <c r="AC37" s="251"/>
      <c r="AD37" s="181" t="s">
        <v>41</v>
      </c>
      <c r="AE37" s="252">
        <f>AE40-AE39</f>
        <v>58.658403608877464</v>
      </c>
      <c r="AF37" s="201"/>
      <c r="AG37" s="202"/>
      <c r="AH37" s="136"/>
      <c r="AI37" s="221">
        <f>AI41+AI39</f>
        <v>-58.658403608877464</v>
      </c>
      <c r="AJ37" s="253"/>
      <c r="AK37" s="254">
        <f>(AI37-AD41)/((AI37-AD41+AI41-AD41)/2)-1</f>
        <v>-0.1222638902597003</v>
      </c>
      <c r="AL37" s="181"/>
      <c r="AM37" s="181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36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1"/>
      <c r="BN37" s="181"/>
      <c r="BO37" s="181"/>
      <c r="BP37" s="181"/>
      <c r="BQ37" s="181"/>
      <c r="BR37" s="181"/>
      <c r="BS37" s="181"/>
      <c r="BT37" s="181"/>
      <c r="BU37" s="181"/>
    </row>
    <row r="38" spans="3:73" s="190" customFormat="1" ht="15.75" hidden="1" thickBot="1" x14ac:dyDescent="0.3">
      <c r="Y38" s="181"/>
      <c r="Z38" s="255"/>
      <c r="AA38" s="250"/>
      <c r="AB38" s="247"/>
      <c r="AC38" s="251"/>
      <c r="AD38" s="204" t="s">
        <v>38</v>
      </c>
      <c r="AE38" s="219">
        <f>AE37</f>
        <v>58.658403608877464</v>
      </c>
      <c r="AF38" s="201"/>
      <c r="AG38" s="202">
        <f>AE38/AE42-1</f>
        <v>-0.1222638902597003</v>
      </c>
      <c r="AH38" s="136"/>
      <c r="AI38" s="221"/>
      <c r="AJ38" s="253"/>
      <c r="AK38" s="256"/>
      <c r="AL38" s="181"/>
      <c r="AM38" s="181"/>
      <c r="AN38" s="208"/>
      <c r="AO38" s="209"/>
      <c r="AP38" s="208"/>
      <c r="AQ38" s="209"/>
      <c r="AR38" s="208"/>
      <c r="AS38" s="209"/>
      <c r="AT38" s="208"/>
      <c r="AU38" s="209"/>
      <c r="AV38" s="208"/>
      <c r="AW38" s="209"/>
      <c r="AX38" s="208"/>
      <c r="AY38" s="209"/>
      <c r="AZ38" s="136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1"/>
      <c r="BN38" s="181"/>
      <c r="BO38" s="181"/>
      <c r="BP38" s="181"/>
      <c r="BQ38" s="181"/>
      <c r="BR38" s="181"/>
      <c r="BS38" s="181"/>
      <c r="BT38" s="181"/>
      <c r="BU38" s="181"/>
    </row>
    <row r="39" spans="3:73" s="190" customFormat="1" ht="15.75" hidden="1" thickBot="1" x14ac:dyDescent="0.3">
      <c r="Y39" s="181"/>
      <c r="Z39" s="255"/>
      <c r="AA39" s="257">
        <v>0.6</v>
      </c>
      <c r="AB39" s="247">
        <f>AJ17</f>
        <v>4334.3999999999996</v>
      </c>
      <c r="AC39" s="251"/>
      <c r="AD39" s="181" t="s">
        <v>49</v>
      </c>
      <c r="AE39" s="219">
        <f>(AE40+$Z36)/(1+$AB39^(1/$AA36)/$AB36^(1/$AA36))</f>
        <v>16.341596391122533</v>
      </c>
      <c r="AF39" s="196">
        <f>ABS(AE39)^AA39*AB39</f>
        <v>23168.91390189316</v>
      </c>
      <c r="AG39" s="197"/>
      <c r="AH39" s="136"/>
      <c r="AI39" s="221">
        <f>(-AI41-$Z36)/(1+$AB39^(1/$AA36)/$AB36^(1/$AA36))</f>
        <v>16.341596391122533</v>
      </c>
      <c r="AJ39" s="249">
        <f>ABS(AI39)^AA39*AB39</f>
        <v>23168.91390189316</v>
      </c>
      <c r="AK39" s="256"/>
      <c r="AL39" s="181"/>
      <c r="AM39" s="181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136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1"/>
      <c r="BN39" s="181"/>
      <c r="BO39" s="181"/>
      <c r="BP39" s="181"/>
      <c r="BQ39" s="181"/>
      <c r="BR39" s="181"/>
      <c r="BS39" s="181"/>
      <c r="BT39" s="181"/>
      <c r="BU39" s="181"/>
    </row>
    <row r="40" spans="3:73" s="190" customFormat="1" ht="16.5" hidden="1" thickBot="1" x14ac:dyDescent="0.3">
      <c r="Y40" s="181"/>
      <c r="Z40" s="255"/>
      <c r="AA40" s="250"/>
      <c r="AB40" s="247"/>
      <c r="AC40" s="251"/>
      <c r="AD40" s="181" t="s">
        <v>42</v>
      </c>
      <c r="AE40" s="252">
        <f>AE35+Z40</f>
        <v>75</v>
      </c>
      <c r="AF40" s="196">
        <f>ABS(AE40)^AA41*AB41</f>
        <v>12150</v>
      </c>
      <c r="AG40" s="197"/>
      <c r="AH40" s="136"/>
      <c r="AI40" s="258"/>
      <c r="AJ40" s="259"/>
      <c r="AK40" s="256"/>
      <c r="AL40" s="181"/>
      <c r="AM40" s="181"/>
      <c r="AN40" s="208"/>
      <c r="AO40" s="209"/>
      <c r="AP40" s="208"/>
      <c r="AQ40" s="209"/>
      <c r="AR40" s="208"/>
      <c r="AS40" s="209"/>
      <c r="AT40" s="208"/>
      <c r="AU40" s="209"/>
      <c r="AV40" s="208"/>
      <c r="AW40" s="209"/>
      <c r="AX40" s="208"/>
      <c r="AY40" s="209"/>
      <c r="AZ40" s="136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1"/>
      <c r="BN40" s="181"/>
      <c r="BO40" s="181"/>
      <c r="BP40" s="181"/>
      <c r="BQ40" s="181"/>
      <c r="BR40" s="181"/>
      <c r="BS40" s="181"/>
      <c r="BT40" s="181"/>
      <c r="BU40" s="181"/>
    </row>
    <row r="41" spans="3:73" s="190" customFormat="1" ht="15.75" hidden="1" thickBot="1" x14ac:dyDescent="0.3">
      <c r="Y41" s="181"/>
      <c r="Z41" s="260">
        <v>0</v>
      </c>
      <c r="AA41" s="261">
        <f>AA36</f>
        <v>0.6</v>
      </c>
      <c r="AB41" s="262">
        <f>AJ14</f>
        <v>911.04435164509721</v>
      </c>
      <c r="AC41" s="263">
        <f>ABS(Z41)^AA41*AB41</f>
        <v>0</v>
      </c>
      <c r="AD41" s="215"/>
      <c r="AE41" s="216"/>
      <c r="AF41" s="196"/>
      <c r="AG41" s="202"/>
      <c r="AH41" s="136"/>
      <c r="AI41" s="221">
        <f>AI35+Z41</f>
        <v>-75</v>
      </c>
      <c r="AJ41" s="249">
        <f>ABS(AI41)^AA41*AB41</f>
        <v>12150</v>
      </c>
      <c r="AK41" s="254">
        <f>(AI41-AD41)/((AI37-AD41+AI41-AD41)/2)-1</f>
        <v>0.12226389025970041</v>
      </c>
      <c r="AL41" s="181"/>
      <c r="AM41" s="181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136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1"/>
      <c r="BN41" s="181"/>
      <c r="BO41" s="181"/>
      <c r="BP41" s="181"/>
      <c r="BQ41" s="181"/>
      <c r="BR41" s="181"/>
      <c r="BS41" s="181"/>
      <c r="BT41" s="181"/>
      <c r="BU41" s="181"/>
    </row>
    <row r="42" spans="3:73" s="190" customFormat="1" ht="16.5" hidden="1" thickBot="1" x14ac:dyDescent="0.3">
      <c r="Y42" s="181"/>
      <c r="Z42" s="181"/>
      <c r="AA42" s="181"/>
      <c r="AB42" s="181"/>
      <c r="AC42" s="181"/>
      <c r="AD42" s="181" t="s">
        <v>40</v>
      </c>
      <c r="AE42" s="219">
        <f>AVERAGE(AE38,AE43)</f>
        <v>66.829201804438725</v>
      </c>
      <c r="AF42" s="196">
        <f>AF40+AF36</f>
        <v>35318.91390189316</v>
      </c>
      <c r="AG42" s="220"/>
      <c r="AH42" s="136"/>
      <c r="AI42" s="221">
        <f>AVERAGE(AI37,AI41)-Z41</f>
        <v>-66.829201804438725</v>
      </c>
      <c r="AJ42" s="249">
        <f>AJ41+AJ36</f>
        <v>35318.91390189316</v>
      </c>
      <c r="AK42" s="200"/>
      <c r="AL42" s="181" t="s">
        <v>45</v>
      </c>
      <c r="AM42" s="222">
        <f>MAX(AF43,AJ43)</f>
        <v>37849.864898588392</v>
      </c>
      <c r="AN42" s="189" t="s">
        <v>46</v>
      </c>
      <c r="AO42" s="189"/>
      <c r="AP42" s="189"/>
      <c r="AQ42" s="223">
        <f>AE35</f>
        <v>75</v>
      </c>
      <c r="AR42" s="189" t="s">
        <v>47</v>
      </c>
      <c r="AS42" s="136"/>
      <c r="AT42" s="136"/>
      <c r="AU42" s="136"/>
      <c r="AV42" s="136"/>
      <c r="AW42" s="136"/>
      <c r="AX42" s="136"/>
      <c r="AY42" s="136"/>
      <c r="AZ42" s="136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1"/>
      <c r="BN42" s="181"/>
      <c r="BO42" s="181"/>
      <c r="BP42" s="181"/>
      <c r="BQ42" s="181"/>
      <c r="BR42" s="181"/>
      <c r="BS42" s="181"/>
      <c r="BT42" s="181"/>
      <c r="BU42" s="181"/>
    </row>
    <row r="43" spans="3:73" s="190" customFormat="1" ht="15.75" hidden="1" thickBot="1" x14ac:dyDescent="0.3">
      <c r="Y43" s="181"/>
      <c r="Z43" s="181"/>
      <c r="AA43" s="181"/>
      <c r="AB43" s="136"/>
      <c r="AC43" s="181"/>
      <c r="AD43" s="215" t="s">
        <v>39</v>
      </c>
      <c r="AE43" s="224">
        <f>AE40-Z40</f>
        <v>75</v>
      </c>
      <c r="AF43" s="264">
        <f>AE43^AA36*AF42/AE42^AA36</f>
        <v>37849.864898588392</v>
      </c>
      <c r="AG43" s="265">
        <f>AE43/AE42-1</f>
        <v>0.12226389025970041</v>
      </c>
      <c r="AH43" s="136"/>
      <c r="AI43" s="227">
        <f>ABS(AI35)</f>
        <v>75</v>
      </c>
      <c r="AJ43" s="266">
        <f>AI43^AA36*AJ42/ABS(AI42)^AA36</f>
        <v>37849.864898588392</v>
      </c>
      <c r="AK43" s="267"/>
      <c r="AL43" s="181" t="s">
        <v>2</v>
      </c>
      <c r="AM43" s="230">
        <f>AVERAGE(AF43,AJ43)</f>
        <v>37849.864898588392</v>
      </c>
      <c r="AN43" s="136" t="s">
        <v>0</v>
      </c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9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231"/>
      <c r="BM43" s="181"/>
      <c r="BN43" s="181"/>
      <c r="BO43" s="181"/>
      <c r="BP43" s="181"/>
      <c r="BQ43" s="181"/>
      <c r="BR43" s="181"/>
      <c r="BS43" s="181"/>
      <c r="BT43" s="181"/>
      <c r="BU43" s="181"/>
    </row>
    <row r="44" spans="3:73" ht="15.75" hidden="1" thickBot="1" x14ac:dyDescent="0.3">
      <c r="AD44" s="136" t="s">
        <v>1</v>
      </c>
      <c r="AF44" s="268">
        <f>AF43/$AM$45-1</f>
        <v>-2.9490643625938673E-2</v>
      </c>
      <c r="AI44" s="149"/>
      <c r="AJ44" s="268">
        <f>AJ43/$AM$45-1</f>
        <v>-2.9490643625938673E-2</v>
      </c>
      <c r="AM44" s="269">
        <f>AM43/AM45-1</f>
        <v>-2.9490643625938673E-2</v>
      </c>
      <c r="AN44" s="189" t="s">
        <v>48</v>
      </c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</row>
    <row r="45" spans="3:73" ht="15.75" hidden="1" thickBot="1" x14ac:dyDescent="0.3">
      <c r="AL45" s="136" t="b">
        <v>1</v>
      </c>
      <c r="AM45" s="270">
        <f>AE43^AA39*AJ12</f>
        <v>39000</v>
      </c>
      <c r="AN45" s="136" t="s">
        <v>0</v>
      </c>
    </row>
    <row r="46" spans="3:73" x14ac:dyDescent="0.25">
      <c r="C46" s="292">
        <v>120</v>
      </c>
      <c r="O46" s="282">
        <f>C46</f>
        <v>120</v>
      </c>
    </row>
    <row r="50" spans="1:19" x14ac:dyDescent="0.25">
      <c r="C50" s="287"/>
      <c r="D50" s="274"/>
      <c r="E50" s="275" t="s">
        <v>61</v>
      </c>
      <c r="F50" s="285">
        <f>AG32</f>
        <v>0.10900699280811832</v>
      </c>
      <c r="O50" s="272"/>
      <c r="P50" s="272"/>
      <c r="Q50" s="273" t="s">
        <v>61</v>
      </c>
      <c r="R50" s="286">
        <f>AK32</f>
        <v>0.13584156401016001</v>
      </c>
    </row>
    <row r="52" spans="1:19" x14ac:dyDescent="0.25">
      <c r="G52" s="280">
        <v>300</v>
      </c>
      <c r="S52" s="281">
        <f>G52</f>
        <v>300</v>
      </c>
    </row>
    <row r="54" spans="1:19" x14ac:dyDescent="0.25">
      <c r="A54" s="277" t="s">
        <v>66</v>
      </c>
    </row>
  </sheetData>
  <sheetProtection algorithmName="SHA-512" hashValue="Q4zT0Q/UnYOhrg4lIEd1vo1TMJry0/j6g5CXQSBWpWflzgtncEvK+g24WLkXA+Rx0/6gCeUjsdZMMmUQ6857Iw==" saltValue="BUFSvT/xKFgb5QXf7mHRaw==" spinCount="100000" sheet="1" objects="1" scenarios="1" selectLockedCells="1"/>
  <scenarios current="0">
    <scenario name="G19" count="1" user="Colin Genge" comment="Created by Colin Genge on 9/1/2015">
      <inputCells r="AE28" val="32.6931005898537" numFmtId="164"/>
    </scenario>
  </scenarios>
  <mergeCells count="1">
    <mergeCell ref="A1:M1"/>
  </mergeCells>
  <conditionalFormatting sqref="F50">
    <cfRule type="expression" dxfId="2" priority="3">
      <formula>IF($F$50&gt;0.1,TRUE,FALSE)</formula>
    </cfRule>
  </conditionalFormatting>
  <conditionalFormatting sqref="R50">
    <cfRule type="expression" dxfId="1" priority="2">
      <formula>IF($F$50&gt;0.1,TRUE,FALSE)</formula>
    </cfRule>
    <cfRule type="expression" dxfId="0" priority="1">
      <formula>IF($R$50&gt;0.1,TRUE,FALSE)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W37"/>
  <sheetViews>
    <sheetView zoomScaleNormal="100" workbookViewId="0">
      <selection activeCell="I9" sqref="I9"/>
    </sheetView>
  </sheetViews>
  <sheetFormatPr defaultRowHeight="15" x14ac:dyDescent="0.25"/>
  <cols>
    <col min="1" max="1" width="24" customWidth="1"/>
    <col min="2" max="2" width="8.25" customWidth="1"/>
    <col min="3" max="3" width="6.625" customWidth="1"/>
    <col min="4" max="4" width="7.25" customWidth="1"/>
    <col min="5" max="5" width="9.875" customWidth="1"/>
    <col min="6" max="6" width="25.125" customWidth="1"/>
    <col min="7" max="7" width="12.875" customWidth="1"/>
    <col min="8" max="8" width="11" customWidth="1"/>
    <col min="9" max="9" width="11.75" customWidth="1"/>
    <col min="10" max="10" width="5.625" customWidth="1"/>
    <col min="11" max="11" width="12.25" customWidth="1"/>
    <col min="12" max="12" width="8" bestFit="1" customWidth="1"/>
    <col min="13" max="13" width="11.75" customWidth="1"/>
    <col min="14" max="14" width="9.375" customWidth="1"/>
    <col min="15" max="15" width="8.75" bestFit="1" customWidth="1"/>
    <col min="16" max="16" width="8" bestFit="1" customWidth="1"/>
    <col min="17" max="17" width="6.625" bestFit="1" customWidth="1"/>
    <col min="18" max="18" width="6.125" bestFit="1" customWidth="1"/>
    <col min="19" max="19" width="3.25" bestFit="1" customWidth="1"/>
    <col min="20" max="20" width="4.875" bestFit="1" customWidth="1"/>
    <col min="21" max="21" width="6.625" bestFit="1" customWidth="1"/>
    <col min="22" max="22" width="4.875" bestFit="1" customWidth="1"/>
    <col min="23" max="23" width="6.625" bestFit="1" customWidth="1"/>
    <col min="24" max="24" width="4.875" bestFit="1" customWidth="1"/>
    <col min="25" max="25" width="6.625" bestFit="1" customWidth="1"/>
    <col min="26" max="26" width="4.875" bestFit="1" customWidth="1"/>
    <col min="27" max="27" width="6.625" bestFit="1" customWidth="1"/>
    <col min="28" max="28" width="4.875" bestFit="1" customWidth="1"/>
    <col min="29" max="29" width="6.625" bestFit="1" customWidth="1"/>
    <col min="30" max="30" width="4.875" bestFit="1" customWidth="1"/>
    <col min="31" max="31" width="6.625" bestFit="1" customWidth="1"/>
    <col min="32" max="32" width="4.875" bestFit="1" customWidth="1"/>
    <col min="33" max="33" width="6.625" bestFit="1" customWidth="1"/>
    <col min="34" max="34" width="4.875" bestFit="1" customWidth="1"/>
    <col min="35" max="35" width="6.625" bestFit="1" customWidth="1"/>
    <col min="36" max="36" width="4.875" bestFit="1" customWidth="1"/>
    <col min="37" max="37" width="6.625" bestFit="1" customWidth="1"/>
    <col min="38" max="38" width="4.875" bestFit="1" customWidth="1"/>
    <col min="39" max="39" width="6.625" bestFit="1" customWidth="1"/>
    <col min="40" max="40" width="4.875" bestFit="1" customWidth="1"/>
    <col min="41" max="41" width="6.625" bestFit="1" customWidth="1"/>
    <col min="42" max="42" width="4.875" bestFit="1" customWidth="1"/>
    <col min="43" max="43" width="6.625" bestFit="1" customWidth="1"/>
    <col min="44" max="44" width="4.875" bestFit="1" customWidth="1"/>
    <col min="45" max="45" width="6.625" bestFit="1" customWidth="1"/>
    <col min="46" max="46" width="4.875" bestFit="1" customWidth="1"/>
    <col min="47" max="47" width="6.625" bestFit="1" customWidth="1"/>
    <col min="48" max="48" width="4.875" bestFit="1" customWidth="1"/>
    <col min="49" max="49" width="6.625" bestFit="1" customWidth="1"/>
  </cols>
  <sheetData>
    <row r="1" spans="1:49" ht="15.75" thickBot="1" x14ac:dyDescent="0.3">
      <c r="A1" t="s">
        <v>58</v>
      </c>
      <c r="C1" s="84"/>
      <c r="D1" s="85" t="s">
        <v>30</v>
      </c>
      <c r="E1" s="86" t="s">
        <v>29</v>
      </c>
    </row>
    <row r="2" spans="1:49" ht="15.75" thickBot="1" x14ac:dyDescent="0.3">
      <c r="E2" t="s">
        <v>28</v>
      </c>
      <c r="G2" t="s">
        <v>27</v>
      </c>
      <c r="H2" t="s">
        <v>26</v>
      </c>
      <c r="I2" t="s">
        <v>25</v>
      </c>
      <c r="J2" t="s">
        <v>24</v>
      </c>
      <c r="K2" t="s">
        <v>23</v>
      </c>
      <c r="P2" s="56"/>
      <c r="Q2" s="55"/>
      <c r="R2" s="56"/>
      <c r="S2" s="55"/>
      <c r="T2" s="56"/>
      <c r="U2" s="55"/>
      <c r="V2" s="56"/>
      <c r="W2" s="55"/>
      <c r="X2" s="56"/>
      <c r="Y2" s="55"/>
      <c r="Z2" s="56"/>
      <c r="AA2" s="55"/>
    </row>
    <row r="3" spans="1:49" ht="15.75" thickBot="1" x14ac:dyDescent="0.3">
      <c r="B3" t="s">
        <v>22</v>
      </c>
      <c r="C3" t="s">
        <v>21</v>
      </c>
      <c r="D3" t="s">
        <v>20</v>
      </c>
      <c r="E3" t="s">
        <v>18</v>
      </c>
      <c r="F3" s="40" t="s">
        <v>55</v>
      </c>
      <c r="G3" t="s">
        <v>18</v>
      </c>
      <c r="H3" t="s">
        <v>18</v>
      </c>
      <c r="I3" t="s">
        <v>18</v>
      </c>
      <c r="J3" t="s">
        <v>18</v>
      </c>
      <c r="K3" s="62">
        <v>75</v>
      </c>
      <c r="L3" s="54" t="s">
        <v>8</v>
      </c>
    </row>
    <row r="4" spans="1:49" ht="15.75" thickBot="1" x14ac:dyDescent="0.3">
      <c r="A4" t="s">
        <v>17</v>
      </c>
      <c r="B4" s="87">
        <v>300</v>
      </c>
      <c r="C4" s="87">
        <v>120</v>
      </c>
      <c r="D4" s="84">
        <v>100</v>
      </c>
      <c r="E4" s="49">
        <f>(B4*2+C4*2)*D4</f>
        <v>84000</v>
      </c>
      <c r="F4" s="49"/>
      <c r="G4" s="49">
        <f>B4*C4*2</f>
        <v>72000</v>
      </c>
      <c r="H4" s="49"/>
      <c r="I4" s="51">
        <f>G4+E4</f>
        <v>156000</v>
      </c>
      <c r="J4" s="90">
        <v>0.25</v>
      </c>
      <c r="K4" s="53">
        <f>J4*I4</f>
        <v>39000</v>
      </c>
      <c r="L4" s="48">
        <f>(K4/K3^0.6)</f>
        <v>2924.3398941694477</v>
      </c>
    </row>
    <row r="5" spans="1:49" ht="15.75" thickBot="1" x14ac:dyDescent="0.3">
      <c r="A5" t="s">
        <v>16</v>
      </c>
      <c r="B5" s="40"/>
      <c r="C5" s="40"/>
      <c r="D5" s="40"/>
      <c r="E5" s="40"/>
      <c r="F5" s="40"/>
      <c r="G5" s="40"/>
      <c r="H5" s="40"/>
      <c r="I5" s="5"/>
      <c r="J5" s="40"/>
      <c r="K5" s="53"/>
      <c r="L5" s="52">
        <f>L4-L6</f>
        <v>2013.2955425243504</v>
      </c>
    </row>
    <row r="6" spans="1:49" ht="15.75" thickBot="1" x14ac:dyDescent="0.3">
      <c r="A6" t="s">
        <v>15</v>
      </c>
      <c r="B6" s="40"/>
      <c r="C6" s="40"/>
      <c r="D6" s="84">
        <v>15</v>
      </c>
      <c r="E6" s="49">
        <f>(B4*2+C4*2)*D6</f>
        <v>12600</v>
      </c>
      <c r="F6" s="49"/>
      <c r="G6" s="49"/>
      <c r="H6" s="49">
        <f>B4*C4</f>
        <v>36000</v>
      </c>
      <c r="I6" s="51">
        <f>H6+E6</f>
        <v>48600</v>
      </c>
      <c r="J6" s="110">
        <f>J4</f>
        <v>0.25</v>
      </c>
      <c r="K6" s="49">
        <f>J6*I6</f>
        <v>12150</v>
      </c>
      <c r="L6" s="50">
        <f>(K6/75^0.6)</f>
        <v>911.04435164509721</v>
      </c>
      <c r="M6" t="s">
        <v>56</v>
      </c>
    </row>
    <row r="7" spans="1:49" ht="15.75" thickBot="1" x14ac:dyDescent="0.3">
      <c r="A7" t="s">
        <v>4</v>
      </c>
      <c r="B7" s="88">
        <v>2</v>
      </c>
      <c r="C7" s="5"/>
      <c r="D7" s="89">
        <v>7</v>
      </c>
      <c r="E7" s="40"/>
      <c r="F7" s="106">
        <v>2</v>
      </c>
      <c r="G7" s="40"/>
      <c r="I7" s="40">
        <f>B7*D7*F7</f>
        <v>28</v>
      </c>
      <c r="K7" s="49"/>
      <c r="L7" s="48"/>
    </row>
    <row r="8" spans="1:49" ht="15.75" thickBot="1" x14ac:dyDescent="0.3">
      <c r="A8" s="46" t="s">
        <v>36</v>
      </c>
      <c r="B8" s="40"/>
      <c r="C8" s="40"/>
      <c r="D8" s="40"/>
      <c r="E8" s="40"/>
      <c r="F8" s="40"/>
      <c r="G8" s="40"/>
      <c r="I8" s="106">
        <v>0</v>
      </c>
      <c r="K8" s="40"/>
      <c r="L8" s="48"/>
    </row>
    <row r="9" spans="1:49" x14ac:dyDescent="0.25">
      <c r="A9" t="s">
        <v>3</v>
      </c>
      <c r="B9" s="40"/>
      <c r="C9" s="40"/>
      <c r="D9" s="40"/>
      <c r="E9" s="40"/>
      <c r="F9" s="40"/>
      <c r="G9" s="40"/>
      <c r="H9" s="40"/>
      <c r="I9" s="40">
        <f>SUM(I7:I8)</f>
        <v>28</v>
      </c>
      <c r="J9" s="40"/>
      <c r="K9" s="40"/>
      <c r="L9" s="48">
        <f>I9*144*1.075</f>
        <v>4334.3999999999996</v>
      </c>
      <c r="N9" s="47"/>
    </row>
    <row r="10" spans="1:49" ht="15.75" thickBot="1" x14ac:dyDescent="0.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8"/>
      <c r="N10" s="47"/>
    </row>
    <row r="11" spans="1:49" ht="15.75" thickBot="1" x14ac:dyDescent="0.3">
      <c r="B11" s="81"/>
      <c r="C11" s="82" t="s">
        <v>57</v>
      </c>
      <c r="D11" s="82"/>
      <c r="E11" s="83"/>
      <c r="G11" s="61"/>
      <c r="H11" s="57" t="s">
        <v>34</v>
      </c>
      <c r="I11" s="58"/>
      <c r="J11" s="58"/>
      <c r="K11" s="65"/>
      <c r="L11" s="59"/>
      <c r="M11" s="60"/>
    </row>
    <row r="12" spans="1:49" x14ac:dyDescent="0.25">
      <c r="B12" t="s">
        <v>11</v>
      </c>
      <c r="C12" t="s">
        <v>13</v>
      </c>
      <c r="E12" t="s">
        <v>12</v>
      </c>
      <c r="G12" s="67" t="s">
        <v>43</v>
      </c>
      <c r="H12" s="40" t="s">
        <v>7</v>
      </c>
      <c r="I12" s="41" t="s">
        <v>10</v>
      </c>
      <c r="K12" s="68" t="s">
        <v>44</v>
      </c>
      <c r="L12" s="40" t="s">
        <v>7</v>
      </c>
      <c r="M12" s="41" t="s">
        <v>10</v>
      </c>
    </row>
    <row r="13" spans="1:49" ht="15.75" thickBot="1" x14ac:dyDescent="0.3">
      <c r="B13" t="s">
        <v>6</v>
      </c>
      <c r="C13" s="40" t="s">
        <v>9</v>
      </c>
      <c r="D13" s="40" t="s">
        <v>8</v>
      </c>
      <c r="E13" s="40" t="s">
        <v>7</v>
      </c>
      <c r="G13" s="63"/>
      <c r="H13" s="40" t="s">
        <v>0</v>
      </c>
      <c r="I13" t="s">
        <v>14</v>
      </c>
      <c r="K13" s="66"/>
      <c r="L13" s="40" t="s">
        <v>0</v>
      </c>
      <c r="M13" t="s">
        <v>14</v>
      </c>
    </row>
    <row r="14" spans="1:49" ht="15.75" thickBot="1" x14ac:dyDescent="0.3">
      <c r="C14" s="40"/>
      <c r="D14" s="40"/>
      <c r="E14" s="40"/>
    </row>
    <row r="15" spans="1:49" ht="15.75" thickBot="1" x14ac:dyDescent="0.3">
      <c r="B15" s="39" t="s">
        <v>12</v>
      </c>
      <c r="G15" s="69"/>
      <c r="H15" s="70"/>
      <c r="I15" s="71"/>
      <c r="J15" s="70" t="s">
        <v>51</v>
      </c>
      <c r="K15" s="72"/>
      <c r="L15" s="73"/>
      <c r="M15" s="74"/>
      <c r="Q15" s="46"/>
    </row>
    <row r="16" spans="1:49" s="7" customFormat="1" ht="15.75" thickBot="1" x14ac:dyDescent="0.3">
      <c r="A16" s="2"/>
      <c r="B16" s="38"/>
      <c r="C16" s="37"/>
      <c r="D16" s="37"/>
      <c r="E16" s="36"/>
      <c r="F16" s="2" t="s">
        <v>5</v>
      </c>
      <c r="G16" s="62">
        <v>75</v>
      </c>
      <c r="H16" s="45">
        <f>H17-H20</f>
        <v>0</v>
      </c>
      <c r="I16" s="35"/>
      <c r="J16"/>
      <c r="K16" s="64">
        <f>-G16</f>
        <v>-75</v>
      </c>
      <c r="L16" s="34"/>
      <c r="M16" s="3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9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7" customFormat="1" x14ac:dyDescent="0.25">
      <c r="A17" s="2" t="s">
        <v>37</v>
      </c>
      <c r="B17" s="107">
        <f>-SIGN(B21)*(ABS(B21)^C21*D21/D17)^(1/C17)</f>
        <v>-6.6679651577848036</v>
      </c>
      <c r="C17" s="125">
        <v>0.6</v>
      </c>
      <c r="D17" s="31">
        <f>L5</f>
        <v>2013.2955425243504</v>
      </c>
      <c r="E17" s="108">
        <f>ABS(B17)^C17*D17</f>
        <v>6284.9745743572084</v>
      </c>
      <c r="F17" s="2" t="s">
        <v>50</v>
      </c>
      <c r="G17" s="133">
        <f>G21-G20+B17</f>
        <v>72.996108925499641</v>
      </c>
      <c r="H17" s="114">
        <f>ABS(G17)^C17*D17</f>
        <v>26417.234925557867</v>
      </c>
      <c r="I17" s="19"/>
      <c r="J17"/>
      <c r="K17" s="18">
        <f>$B17+$K21+K20</f>
        <v>-44.320698292255294</v>
      </c>
      <c r="L17" s="121">
        <f>ABS(K17)^C17*D17</f>
        <v>19582.651204464226</v>
      </c>
      <c r="M17" s="16"/>
      <c r="N17" s="2"/>
      <c r="O17" s="2"/>
      <c r="P17" s="2"/>
      <c r="Q17"/>
      <c r="R17"/>
      <c r="S17"/>
      <c r="T17"/>
      <c r="U17"/>
      <c r="V17"/>
      <c r="W17"/>
      <c r="X17"/>
      <c r="Y17"/>
      <c r="Z17"/>
      <c r="AA17"/>
      <c r="AB17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7" customFormat="1" ht="15.75" x14ac:dyDescent="0.25">
      <c r="A18" s="2"/>
      <c r="B18" s="107"/>
      <c r="C18" s="125"/>
      <c r="D18" s="31"/>
      <c r="E18" s="108"/>
      <c r="F18" s="2" t="s">
        <v>41</v>
      </c>
      <c r="G18" s="44">
        <f>G21-G20</f>
        <v>79.664074083284447</v>
      </c>
      <c r="H18" s="115"/>
      <c r="I18" s="23"/>
      <c r="J18"/>
      <c r="K18" s="116">
        <f>K21+K20</f>
        <v>-37.652733134470488</v>
      </c>
      <c r="L18" s="122"/>
      <c r="M18" s="16"/>
      <c r="N18" s="2"/>
      <c r="O18" s="2"/>
      <c r="P18" s="2"/>
      <c r="Q18"/>
      <c r="R18"/>
      <c r="S18"/>
      <c r="T18"/>
      <c r="U18"/>
      <c r="V18"/>
      <c r="W18"/>
      <c r="X18"/>
      <c r="Y18"/>
      <c r="Z18"/>
      <c r="AA18"/>
      <c r="AB18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7" customFormat="1" x14ac:dyDescent="0.25">
      <c r="A19" s="2"/>
      <c r="B19" s="107"/>
      <c r="C19" s="125"/>
      <c r="D19" s="31"/>
      <c r="E19" s="108"/>
      <c r="F19" s="6" t="s">
        <v>38</v>
      </c>
      <c r="G19" s="20">
        <f>G18-$B21</f>
        <v>54.664074083284447</v>
      </c>
      <c r="H19" s="115"/>
      <c r="I19" s="23">
        <f>G19/G23-1</f>
        <v>-0.15683546935023496</v>
      </c>
      <c r="J19"/>
      <c r="K19" s="18">
        <f>K18-$B21</f>
        <v>-62.652733134470488</v>
      </c>
      <c r="L19" s="122"/>
      <c r="M19" s="117">
        <f>K19/K23-1</f>
        <v>-8.9698668412690918E-2</v>
      </c>
      <c r="N19" s="2"/>
      <c r="O19" s="2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26"/>
      <c r="AH19" s="27"/>
      <c r="AI19" s="26"/>
      <c r="AJ19" s="27"/>
      <c r="AK19" s="26"/>
      <c r="AL19" s="27"/>
      <c r="AM19" s="26"/>
      <c r="AN19" s="27"/>
      <c r="AO19" s="26"/>
      <c r="AP19" s="27"/>
      <c r="AQ19" s="26"/>
      <c r="AR19" s="27"/>
      <c r="AS19" s="26"/>
      <c r="AT19" s="27"/>
      <c r="AU19" s="26"/>
      <c r="AV19" s="27"/>
      <c r="AW19" s="26"/>
    </row>
    <row r="20" spans="1:49" s="7" customFormat="1" ht="15.75" thickBot="1" x14ac:dyDescent="0.3">
      <c r="A20" s="2"/>
      <c r="B20" s="107"/>
      <c r="C20" s="125">
        <v>0.6</v>
      </c>
      <c r="D20" s="31">
        <f>L9</f>
        <v>4334.3999999999996</v>
      </c>
      <c r="E20" s="108"/>
      <c r="F20" s="2" t="s">
        <v>49</v>
      </c>
      <c r="G20" s="133">
        <f>(G21+$B17)/(1+$D20^(1/$C17)/$D17^(1/$C17))</f>
        <v>20.335925916715549</v>
      </c>
      <c r="H20" s="114">
        <f>ABS(G20)^C20*D20</f>
        <v>26417.234925557874</v>
      </c>
      <c r="I20" s="19"/>
      <c r="J20"/>
      <c r="K20" s="18">
        <f>(-K21-$B17)/(1+$D20^(1/$C17)/$D17^(1/$C17))</f>
        <v>12.347266865529514</v>
      </c>
      <c r="L20" s="121">
        <f>ABS(K20)^C20*D20</f>
        <v>19582.651204464226</v>
      </c>
      <c r="M20" s="117"/>
      <c r="N20" s="2"/>
      <c r="O20" s="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s="7" customFormat="1" ht="16.5" thickBot="1" x14ac:dyDescent="0.3">
      <c r="A21" s="2" t="s">
        <v>35</v>
      </c>
      <c r="B21" s="132">
        <v>25</v>
      </c>
      <c r="C21" s="25">
        <f>C17</f>
        <v>0.6</v>
      </c>
      <c r="D21" s="24">
        <f>L6</f>
        <v>911.04435164509721</v>
      </c>
      <c r="E21" s="109">
        <f>ABS(B21)^C21*D21</f>
        <v>6284.9745743572084</v>
      </c>
      <c r="F21" s="2" t="s">
        <v>42</v>
      </c>
      <c r="G21" s="44">
        <f>G16+B21</f>
        <v>100</v>
      </c>
      <c r="H21" s="114">
        <f>ABS(G21)^C21*D21</f>
        <v>14439.079909524635</v>
      </c>
      <c r="I21" s="19"/>
      <c r="J21"/>
      <c r="K21" s="116">
        <f>K16+B21</f>
        <v>-50</v>
      </c>
      <c r="L21" s="121">
        <f>ABS(K21)^C21*D21</f>
        <v>9526.24008244986</v>
      </c>
      <c r="M21" s="117"/>
      <c r="N21" s="2"/>
      <c r="O21" s="2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26"/>
      <c r="AH21" s="27"/>
      <c r="AI21" s="26"/>
      <c r="AJ21" s="27"/>
      <c r="AK21" s="26"/>
      <c r="AL21" s="27"/>
      <c r="AM21" s="26"/>
      <c r="AN21" s="27"/>
      <c r="AO21" s="26"/>
      <c r="AP21" s="27"/>
      <c r="AQ21" s="26"/>
      <c r="AR21" s="27"/>
      <c r="AS21" s="26"/>
      <c r="AT21" s="27"/>
      <c r="AU21" s="26"/>
      <c r="AV21" s="27"/>
      <c r="AW21" s="26"/>
    </row>
    <row r="22" spans="1:49" s="7" customFormat="1" x14ac:dyDescent="0.25">
      <c r="B22" s="2"/>
      <c r="C22" s="2"/>
      <c r="D22" s="2"/>
      <c r="E22" s="2"/>
      <c r="F22" s="111"/>
      <c r="G22" s="112"/>
      <c r="H22" s="114"/>
      <c r="I22" s="23"/>
      <c r="J22"/>
      <c r="K22" s="118"/>
      <c r="L22" s="123"/>
      <c r="M22" s="117"/>
      <c r="N22" s="2"/>
      <c r="O22" s="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49" s="7" customFormat="1" ht="15.75" x14ac:dyDescent="0.25">
      <c r="B23" s="2"/>
      <c r="C23" s="2"/>
      <c r="D23"/>
      <c r="E23" s="2"/>
      <c r="F23" s="2" t="s">
        <v>40</v>
      </c>
      <c r="G23" s="20">
        <f>AVERAGE(G19,G24)</f>
        <v>64.832037041642224</v>
      </c>
      <c r="H23" s="114">
        <f>H21+H17</f>
        <v>40856.314835082499</v>
      </c>
      <c r="I23" s="43"/>
      <c r="J23"/>
      <c r="K23" s="18">
        <f>AVERAGE(K18,K21)-B21</f>
        <v>-68.82636656723524</v>
      </c>
      <c r="L23" s="121">
        <f>L21+L17</f>
        <v>29108.891286914084</v>
      </c>
      <c r="M23" s="117"/>
      <c r="N23" s="2" t="s">
        <v>45</v>
      </c>
      <c r="O23" s="124">
        <f>MAX(H24,L24)</f>
        <v>44588.426749102495</v>
      </c>
      <c r="P23" s="9" t="s">
        <v>46</v>
      </c>
      <c r="Q23" s="9"/>
      <c r="R23" s="9"/>
      <c r="S23" s="120">
        <f>G16</f>
        <v>75</v>
      </c>
      <c r="T23" s="9" t="s">
        <v>47</v>
      </c>
      <c r="U23" s="9"/>
      <c r="V23" s="9"/>
      <c r="W23" s="9"/>
      <c r="X23" s="9"/>
      <c r="Y23" s="9"/>
      <c r="Z23" s="9"/>
      <c r="AA23" s="9"/>
      <c r="AB2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7" customFormat="1" ht="15.75" thickBot="1" x14ac:dyDescent="0.3">
      <c r="B24" s="2"/>
      <c r="C24" s="2"/>
      <c r="D24"/>
      <c r="E24" s="2"/>
      <c r="F24" s="111" t="s">
        <v>39</v>
      </c>
      <c r="G24" s="15">
        <f>G21-B21</f>
        <v>75</v>
      </c>
      <c r="H24" s="128">
        <f>G24^C17*H23/G23^C17</f>
        <v>44588.426749102495</v>
      </c>
      <c r="I24" s="130">
        <f>G24/G23-1</f>
        <v>0.15683546935023496</v>
      </c>
      <c r="J24"/>
      <c r="K24" s="13">
        <f>K21-B21</f>
        <v>-75</v>
      </c>
      <c r="L24" s="129">
        <f>ABS(K24)^C17*L23/ABS(K23)^C17</f>
        <v>30648.520616802107</v>
      </c>
      <c r="M24" s="131">
        <f>K24/K23-1</f>
        <v>8.9698668412691029E-2</v>
      </c>
      <c r="N24" s="2" t="s">
        <v>2</v>
      </c>
      <c r="O24" s="10">
        <f>AVERAGE(H24,L24)</f>
        <v>37618.473682952303</v>
      </c>
      <c r="P24" t="s"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8"/>
      <c r="AB24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5.75" thickBot="1" x14ac:dyDescent="0.3">
      <c r="F25" t="s">
        <v>1</v>
      </c>
      <c r="H25" s="126">
        <f>H24/$O$37-1</f>
        <v>0.14329299356673064</v>
      </c>
      <c r="K25" s="5"/>
      <c r="L25" s="126">
        <f>L24/$O$37-1</f>
        <v>-0.2141404970050742</v>
      </c>
      <c r="O25" s="127">
        <f>O24/O37-1</f>
        <v>-3.5423751719171781E-2</v>
      </c>
      <c r="P25" s="9" t="s">
        <v>48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2"/>
      <c r="AP25" s="2"/>
      <c r="AQ25" s="2"/>
      <c r="AR25" s="2"/>
      <c r="AS25" s="2"/>
      <c r="AT25" s="2"/>
    </row>
    <row r="26" spans="1:49" ht="15.75" thickBot="1" x14ac:dyDescent="0.3">
      <c r="B26" s="39" t="s">
        <v>52</v>
      </c>
      <c r="G26" s="75"/>
      <c r="H26" s="76"/>
      <c r="I26" s="77"/>
      <c r="J26" s="76" t="s">
        <v>32</v>
      </c>
      <c r="K26" s="78"/>
      <c r="L26" s="79"/>
      <c r="M26" s="80"/>
      <c r="N26" s="2"/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2"/>
      <c r="AP26" s="2"/>
      <c r="AQ26" s="2"/>
      <c r="AR26" s="2"/>
      <c r="AS26" s="2"/>
      <c r="AT26" s="2"/>
    </row>
    <row r="27" spans="1:49" s="7" customFormat="1" ht="15.75" thickBot="1" x14ac:dyDescent="0.3">
      <c r="A27" s="2"/>
      <c r="B27" s="91"/>
      <c r="C27" s="92"/>
      <c r="D27" s="92"/>
      <c r="E27" s="93"/>
      <c r="F27" s="2" t="s">
        <v>5</v>
      </c>
      <c r="G27" s="62">
        <f>G16</f>
        <v>75</v>
      </c>
      <c r="H27" s="45"/>
      <c r="I27" s="35"/>
      <c r="J27"/>
      <c r="K27" s="64">
        <f>K16</f>
        <v>-75</v>
      </c>
      <c r="L27" s="34"/>
      <c r="M27" s="3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7" customFormat="1" x14ac:dyDescent="0.25">
      <c r="A28" s="2"/>
      <c r="B28" s="94">
        <f>-SIGN(B33)*(ABS(B33)^C33*D33/D28)^(1/C28)</f>
        <v>0</v>
      </c>
      <c r="C28" s="95">
        <v>0.6</v>
      </c>
      <c r="D28" s="96">
        <f>L5</f>
        <v>2013.2955425243504</v>
      </c>
      <c r="E28" s="97">
        <f>ABS(B28)^C28*D28</f>
        <v>0</v>
      </c>
      <c r="F28" s="2" t="s">
        <v>50</v>
      </c>
      <c r="G28" s="20">
        <f>G32-G31</f>
        <v>58.658403608877464</v>
      </c>
      <c r="H28" s="114">
        <f>ABS(G28)^C28*D28</f>
        <v>23168.913901893156</v>
      </c>
      <c r="I28" s="19"/>
      <c r="J28"/>
      <c r="K28" s="18">
        <f>$B28+$K33+K31</f>
        <v>-58.658403608877464</v>
      </c>
      <c r="L28" s="17">
        <f>ABS(K28)^C28*D28</f>
        <v>23168.913901893156</v>
      </c>
      <c r="M28" s="16"/>
      <c r="N28" s="2"/>
      <c r="O28" s="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7" customFormat="1" ht="15.75" x14ac:dyDescent="0.25">
      <c r="A29" s="2"/>
      <c r="B29" s="94">
        <f>B33</f>
        <v>0</v>
      </c>
      <c r="C29" s="98"/>
      <c r="D29" s="96"/>
      <c r="E29" s="99"/>
      <c r="F29" s="2" t="s">
        <v>41</v>
      </c>
      <c r="G29" s="44">
        <f>G32-G31</f>
        <v>58.658403608877464</v>
      </c>
      <c r="H29" s="115"/>
      <c r="I29" s="23"/>
      <c r="J29"/>
      <c r="K29" s="18">
        <f>K33+K31</f>
        <v>-58.658403608877464</v>
      </c>
      <c r="L29" s="32"/>
      <c r="M29" s="22">
        <f>(K29-F33)/((K29-F33+K33-F33)/2)-1</f>
        <v>-0.1222638902597003</v>
      </c>
      <c r="N29" s="2"/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7" customFormat="1" x14ac:dyDescent="0.25">
      <c r="A30" s="2"/>
      <c r="B30" s="100"/>
      <c r="C30" s="98"/>
      <c r="D30" s="96"/>
      <c r="E30" s="99"/>
      <c r="F30" s="6" t="s">
        <v>38</v>
      </c>
      <c r="G30" s="20">
        <f>G29</f>
        <v>58.658403608877464</v>
      </c>
      <c r="H30" s="115"/>
      <c r="I30" s="23">
        <f>G30/G34-1</f>
        <v>-0.1222638902597003</v>
      </c>
      <c r="J30"/>
      <c r="K30" s="18"/>
      <c r="L30" s="32"/>
      <c r="M30" s="28"/>
      <c r="N30" s="2"/>
      <c r="O30" s="2"/>
      <c r="P30" s="27"/>
      <c r="Q30" s="26"/>
      <c r="R30" s="27"/>
      <c r="S30" s="26"/>
      <c r="T30" s="27"/>
      <c r="U30" s="26"/>
      <c r="V30" s="27"/>
      <c r="W30" s="26"/>
      <c r="X30" s="27"/>
      <c r="Y30" s="26"/>
      <c r="Z30" s="27"/>
      <c r="AA30" s="26"/>
      <c r="AB30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7" customFormat="1" x14ac:dyDescent="0.25">
      <c r="A31" s="2"/>
      <c r="B31" s="100"/>
      <c r="C31" s="101">
        <v>0.6</v>
      </c>
      <c r="D31" s="96">
        <f>L9</f>
        <v>4334.3999999999996</v>
      </c>
      <c r="E31" s="99"/>
      <c r="F31" s="2" t="s">
        <v>49</v>
      </c>
      <c r="G31" s="20">
        <f>(G32+$B28)/(1+$D31^(1/$C28)/$D28^(1/$C28))</f>
        <v>16.341596391122533</v>
      </c>
      <c r="H31" s="114">
        <f>ABS(G31)^C31*D31</f>
        <v>23168.91390189316</v>
      </c>
      <c r="I31" s="19"/>
      <c r="J31"/>
      <c r="K31" s="18">
        <f>(-K33-$B28)/(1+$D31^(1/$C28)/$D28^(1/$C28))</f>
        <v>16.341596391122533</v>
      </c>
      <c r="L31" s="17">
        <f>ABS(K31)^C31*D31</f>
        <v>23168.91390189316</v>
      </c>
      <c r="M31" s="28"/>
      <c r="N31" s="2"/>
      <c r="O31" s="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7" customFormat="1" ht="15.75" x14ac:dyDescent="0.25">
      <c r="A32" s="2"/>
      <c r="B32" s="100"/>
      <c r="C32" s="98"/>
      <c r="D32" s="96"/>
      <c r="E32" s="99"/>
      <c r="F32" s="2" t="s">
        <v>42</v>
      </c>
      <c r="G32" s="44">
        <f>G27+B32</f>
        <v>75</v>
      </c>
      <c r="H32" s="114">
        <f>ABS(G32)^C33*D33</f>
        <v>12150</v>
      </c>
      <c r="I32" s="19"/>
      <c r="J32"/>
      <c r="K32" s="30"/>
      <c r="L32" s="29"/>
      <c r="M32" s="28"/>
      <c r="N32" s="2"/>
      <c r="O32" s="2"/>
      <c r="P32" s="27"/>
      <c r="Q32" s="26"/>
      <c r="R32" s="27"/>
      <c r="S32" s="26"/>
      <c r="T32" s="27"/>
      <c r="U32" s="26"/>
      <c r="V32" s="27"/>
      <c r="W32" s="26"/>
      <c r="X32" s="27"/>
      <c r="Y32" s="26"/>
      <c r="Z32" s="27"/>
      <c r="AA32" s="26"/>
      <c r="AB32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7" customFormat="1" ht="15.75" thickBot="1" x14ac:dyDescent="0.3">
      <c r="A33" s="2"/>
      <c r="B33" s="102">
        <v>0</v>
      </c>
      <c r="C33" s="103">
        <f>C28</f>
        <v>0.6</v>
      </c>
      <c r="D33" s="104">
        <f>L6</f>
        <v>911.04435164509721</v>
      </c>
      <c r="E33" s="105">
        <f>ABS(B33)^C33*D33</f>
        <v>0</v>
      </c>
      <c r="F33" s="111"/>
      <c r="G33" s="112"/>
      <c r="H33" s="114"/>
      <c r="I33" s="23"/>
      <c r="J33"/>
      <c r="K33" s="18">
        <f>K27+B33</f>
        <v>-75</v>
      </c>
      <c r="L33" s="17">
        <f>ABS(K33)^C33*D33</f>
        <v>12150</v>
      </c>
      <c r="M33" s="22">
        <f>(K33-F33)/((K29-F33+K33-F33)/2)-1</f>
        <v>0.12226389025970041</v>
      </c>
      <c r="N33" s="2"/>
      <c r="O33" s="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7" customFormat="1" ht="15.75" x14ac:dyDescent="0.25">
      <c r="A34" s="2"/>
      <c r="B34" s="2"/>
      <c r="C34" s="2"/>
      <c r="D34" s="2"/>
      <c r="E34" s="2"/>
      <c r="F34" s="2" t="s">
        <v>40</v>
      </c>
      <c r="G34" s="20">
        <f>AVERAGE(G30,G35)</f>
        <v>66.829201804438725</v>
      </c>
      <c r="H34" s="114">
        <f>H32+H28</f>
        <v>35318.91390189316</v>
      </c>
      <c r="I34" s="43"/>
      <c r="J34"/>
      <c r="K34" s="18">
        <f>AVERAGE(K29,K33)-B33</f>
        <v>-66.829201804438725</v>
      </c>
      <c r="L34" s="17">
        <f>L33+L28</f>
        <v>35318.91390189316</v>
      </c>
      <c r="M34" s="16"/>
      <c r="N34" s="2" t="s">
        <v>45</v>
      </c>
      <c r="O34" s="124">
        <f>MAX(H35,L35)</f>
        <v>37849.864898588392</v>
      </c>
      <c r="P34" s="9" t="s">
        <v>46</v>
      </c>
      <c r="Q34" s="9"/>
      <c r="R34" s="9"/>
      <c r="S34" s="120">
        <f>G27</f>
        <v>75</v>
      </c>
      <c r="T34" s="9" t="s">
        <v>47</v>
      </c>
      <c r="U34"/>
      <c r="V34"/>
      <c r="W34"/>
      <c r="X34"/>
      <c r="Y34"/>
      <c r="Z34"/>
      <c r="AA34"/>
      <c r="AB34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7" customFormat="1" ht="15.75" thickBot="1" x14ac:dyDescent="0.3">
      <c r="A35" s="2"/>
      <c r="B35" s="2"/>
      <c r="C35" s="2"/>
      <c r="D35"/>
      <c r="E35" s="2"/>
      <c r="F35" s="111" t="s">
        <v>39</v>
      </c>
      <c r="G35" s="15">
        <f>G32-B32</f>
        <v>75</v>
      </c>
      <c r="H35" s="14">
        <f>G35^C28*H34/G34^C28</f>
        <v>37849.864898588392</v>
      </c>
      <c r="I35" s="113">
        <f>G35/G34-1</f>
        <v>0.12226389025970041</v>
      </c>
      <c r="J35"/>
      <c r="K35" s="13">
        <f>ABS(K27)</f>
        <v>75</v>
      </c>
      <c r="L35" s="12">
        <f>K35^C28*L34/ABS(K34)^C28</f>
        <v>37849.864898588392</v>
      </c>
      <c r="M35" s="11"/>
      <c r="N35" s="2" t="s">
        <v>2</v>
      </c>
      <c r="O35" s="10">
        <f>AVERAGE(H35,L35)</f>
        <v>37849.864898588392</v>
      </c>
      <c r="P35" t="s"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9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8"/>
      <c r="AO35" s="2"/>
      <c r="AP35" s="2"/>
      <c r="AQ35" s="2"/>
      <c r="AR35" s="2"/>
      <c r="AS35" s="2"/>
      <c r="AT35" s="2"/>
      <c r="AU35" s="2"/>
      <c r="AV35" s="2"/>
      <c r="AW35" s="2"/>
    </row>
    <row r="36" spans="1:49" x14ac:dyDescent="0.25">
      <c r="F36" t="s">
        <v>1</v>
      </c>
      <c r="H36" s="4">
        <f>H35/$O$37-1</f>
        <v>-2.9490643625938673E-2</v>
      </c>
      <c r="K36" s="5"/>
      <c r="L36" s="4">
        <f>L35/$O$37-1</f>
        <v>-2.9490643625938673E-2</v>
      </c>
      <c r="O36" s="3">
        <f>O35/O37-1</f>
        <v>-2.9490643625938673E-2</v>
      </c>
      <c r="P36" s="9" t="s">
        <v>48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9" x14ac:dyDescent="0.25">
      <c r="N37" t="b">
        <v>1</v>
      </c>
      <c r="O37" s="1">
        <f>G35^C31*L4</f>
        <v>39000</v>
      </c>
      <c r="P37" t="s">
        <v>0</v>
      </c>
    </row>
  </sheetData>
  <scenarios current="0">
    <scenario name="G19" count="1" user="Colin Genge" comment="Created by Colin Genge on 9/1/2015">
      <inputCells r="G20" val="32.6931005898537" numFmtId="164"/>
    </scenario>
  </scenario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W37"/>
  <sheetViews>
    <sheetView topLeftCell="A10" zoomScale="125" zoomScaleNormal="125" workbookViewId="0">
      <selection activeCell="O15" sqref="O15"/>
    </sheetView>
  </sheetViews>
  <sheetFormatPr defaultRowHeight="15" x14ac:dyDescent="0.25"/>
  <cols>
    <col min="1" max="1" width="24" customWidth="1"/>
    <col min="2" max="2" width="9.625" customWidth="1"/>
    <col min="3" max="3" width="6.625" customWidth="1"/>
    <col min="4" max="4" width="7.25" customWidth="1"/>
    <col min="5" max="5" width="9.875" customWidth="1"/>
    <col min="6" max="6" width="25.125" customWidth="1"/>
    <col min="7" max="7" width="12.875" customWidth="1"/>
    <col min="8" max="8" width="11" customWidth="1"/>
    <col min="9" max="9" width="11.75" customWidth="1"/>
    <col min="10" max="10" width="5.625" customWidth="1"/>
    <col min="11" max="11" width="12.25" customWidth="1"/>
    <col min="12" max="12" width="9" customWidth="1"/>
    <col min="13" max="13" width="11.75" customWidth="1"/>
    <col min="14" max="14" width="9.375" customWidth="1"/>
    <col min="15" max="15" width="8.75" bestFit="1" customWidth="1"/>
    <col min="16" max="16" width="8" bestFit="1" customWidth="1"/>
    <col min="17" max="17" width="6.625" bestFit="1" customWidth="1"/>
    <col min="18" max="18" width="6.125" bestFit="1" customWidth="1"/>
    <col min="19" max="19" width="3.25" bestFit="1" customWidth="1"/>
    <col min="20" max="20" width="4.875" bestFit="1" customWidth="1"/>
    <col min="21" max="21" width="6.625" bestFit="1" customWidth="1"/>
    <col min="22" max="22" width="4.875" bestFit="1" customWidth="1"/>
    <col min="23" max="23" width="6.625" bestFit="1" customWidth="1"/>
    <col min="24" max="24" width="4.875" bestFit="1" customWidth="1"/>
    <col min="25" max="25" width="6.625" bestFit="1" customWidth="1"/>
    <col min="26" max="26" width="4.875" bestFit="1" customWidth="1"/>
    <col min="27" max="27" width="6.625" bestFit="1" customWidth="1"/>
    <col min="28" max="28" width="4.875" bestFit="1" customWidth="1"/>
    <col min="29" max="29" width="6.625" bestFit="1" customWidth="1"/>
    <col min="30" max="30" width="4.875" bestFit="1" customWidth="1"/>
    <col min="31" max="31" width="6.625" bestFit="1" customWidth="1"/>
    <col min="32" max="32" width="4.875" bestFit="1" customWidth="1"/>
    <col min="33" max="33" width="6.625" bestFit="1" customWidth="1"/>
    <col min="34" max="34" width="4.875" bestFit="1" customWidth="1"/>
    <col min="35" max="35" width="6.625" bestFit="1" customWidth="1"/>
    <col min="36" max="36" width="4.875" bestFit="1" customWidth="1"/>
    <col min="37" max="37" width="6.625" bestFit="1" customWidth="1"/>
    <col min="38" max="38" width="4.875" bestFit="1" customWidth="1"/>
    <col min="39" max="39" width="6.625" bestFit="1" customWidth="1"/>
    <col min="40" max="40" width="4.875" bestFit="1" customWidth="1"/>
    <col min="41" max="41" width="6.625" bestFit="1" customWidth="1"/>
    <col min="42" max="42" width="4.875" bestFit="1" customWidth="1"/>
    <col min="43" max="43" width="6.625" bestFit="1" customWidth="1"/>
    <col min="44" max="44" width="4.875" bestFit="1" customWidth="1"/>
    <col min="45" max="45" width="6.625" bestFit="1" customWidth="1"/>
    <col min="46" max="46" width="4.875" bestFit="1" customWidth="1"/>
    <col min="47" max="47" width="6.625" bestFit="1" customWidth="1"/>
    <col min="48" max="48" width="4.875" bestFit="1" customWidth="1"/>
    <col min="49" max="49" width="6.625" bestFit="1" customWidth="1"/>
  </cols>
  <sheetData>
    <row r="1" spans="1:49" ht="15.75" thickBot="1" x14ac:dyDescent="0.3">
      <c r="A1" t="s">
        <v>31</v>
      </c>
      <c r="C1" s="84"/>
      <c r="D1" s="85" t="s">
        <v>30</v>
      </c>
      <c r="E1" s="86" t="s">
        <v>29</v>
      </c>
    </row>
    <row r="2" spans="1:49" ht="15.75" thickBot="1" x14ac:dyDescent="0.3">
      <c r="E2" t="s">
        <v>28</v>
      </c>
      <c r="G2" t="s">
        <v>27</v>
      </c>
      <c r="H2" t="s">
        <v>26</v>
      </c>
      <c r="I2" t="s">
        <v>25</v>
      </c>
      <c r="J2" t="s">
        <v>24</v>
      </c>
      <c r="K2" t="s">
        <v>23</v>
      </c>
      <c r="P2" s="56"/>
      <c r="Q2" s="55"/>
      <c r="R2" s="56"/>
      <c r="S2" s="55"/>
      <c r="T2" s="56"/>
      <c r="U2" s="55"/>
      <c r="V2" s="56"/>
      <c r="W2" s="55"/>
      <c r="X2" s="56"/>
      <c r="Y2" s="55"/>
      <c r="Z2" s="56"/>
      <c r="AA2" s="55"/>
    </row>
    <row r="3" spans="1:49" ht="15.75" thickBot="1" x14ac:dyDescent="0.3">
      <c r="B3" t="s">
        <v>22</v>
      </c>
      <c r="C3" t="s">
        <v>21</v>
      </c>
      <c r="D3" t="s">
        <v>20</v>
      </c>
      <c r="E3" t="s">
        <v>18</v>
      </c>
      <c r="F3" t="s">
        <v>19</v>
      </c>
      <c r="G3" t="s">
        <v>18</v>
      </c>
      <c r="H3" t="s">
        <v>18</v>
      </c>
      <c r="I3" t="s">
        <v>18</v>
      </c>
      <c r="J3" t="s">
        <v>18</v>
      </c>
      <c r="K3" s="62">
        <v>75</v>
      </c>
      <c r="L3" s="54" t="s">
        <v>8</v>
      </c>
    </row>
    <row r="4" spans="1:49" ht="15.75" thickBot="1" x14ac:dyDescent="0.3">
      <c r="A4" t="s">
        <v>17</v>
      </c>
      <c r="B4" s="87">
        <v>300</v>
      </c>
      <c r="C4" s="87">
        <v>120</v>
      </c>
      <c r="D4" s="84">
        <v>100</v>
      </c>
      <c r="E4" s="49">
        <f>(B4*2+C4*2)*D4</f>
        <v>84000</v>
      </c>
      <c r="F4" s="49"/>
      <c r="G4" s="49">
        <f>B4*C4*2</f>
        <v>72000</v>
      </c>
      <c r="H4" s="49"/>
      <c r="I4" s="51">
        <f>G4+E4</f>
        <v>156000</v>
      </c>
      <c r="J4" s="90">
        <v>0.25</v>
      </c>
      <c r="K4" s="53">
        <f>J4*I4</f>
        <v>39000</v>
      </c>
      <c r="L4" s="48">
        <f>(K4/K3^0.6)</f>
        <v>2924.3398941694477</v>
      </c>
    </row>
    <row r="5" spans="1:49" ht="15.75" thickBot="1" x14ac:dyDescent="0.3">
      <c r="A5" t="s">
        <v>16</v>
      </c>
      <c r="B5" s="40"/>
      <c r="C5" s="40"/>
      <c r="D5" s="40"/>
      <c r="E5" s="40"/>
      <c r="F5" s="40"/>
      <c r="G5" s="40"/>
      <c r="H5" s="40"/>
      <c r="I5" s="5"/>
      <c r="J5" s="40"/>
      <c r="K5" s="53"/>
      <c r="L5" s="52">
        <f>L4-L6</f>
        <v>2013.2955425243504</v>
      </c>
    </row>
    <row r="6" spans="1:49" ht="15.75" thickBot="1" x14ac:dyDescent="0.3">
      <c r="A6" t="s">
        <v>15</v>
      </c>
      <c r="B6" s="40"/>
      <c r="C6" s="40"/>
      <c r="D6" s="84">
        <v>15</v>
      </c>
      <c r="E6" s="49">
        <f>(B4*2+C4*2)*D6</f>
        <v>12600</v>
      </c>
      <c r="F6" s="49"/>
      <c r="G6" s="49"/>
      <c r="H6" s="49">
        <f>B4*C4</f>
        <v>36000</v>
      </c>
      <c r="I6" s="51">
        <f>H6+E6</f>
        <v>48600</v>
      </c>
      <c r="J6" s="110">
        <f>J4</f>
        <v>0.25</v>
      </c>
      <c r="K6" s="49">
        <f>J6*I6</f>
        <v>12150</v>
      </c>
      <c r="L6" s="50">
        <f>(K6/75^0.6)</f>
        <v>911.04435164509721</v>
      </c>
    </row>
    <row r="7" spans="1:49" ht="15.75" thickBot="1" x14ac:dyDescent="0.3">
      <c r="A7" t="s">
        <v>4</v>
      </c>
      <c r="B7" s="88">
        <v>3</v>
      </c>
      <c r="C7" s="5"/>
      <c r="D7" s="89">
        <v>7</v>
      </c>
      <c r="E7" s="40"/>
      <c r="F7" s="106">
        <v>2</v>
      </c>
      <c r="G7" s="40"/>
      <c r="I7" s="40">
        <f>B7*D7*F7</f>
        <v>42</v>
      </c>
      <c r="K7" s="49"/>
      <c r="L7" s="48"/>
    </row>
    <row r="8" spans="1:49" ht="15.75" thickBot="1" x14ac:dyDescent="0.3">
      <c r="A8" s="46" t="s">
        <v>36</v>
      </c>
      <c r="B8" s="40"/>
      <c r="C8" s="40"/>
      <c r="D8" s="40"/>
      <c r="E8" s="40"/>
      <c r="F8" s="40"/>
      <c r="G8" s="40"/>
      <c r="I8" s="106">
        <v>0</v>
      </c>
      <c r="K8" s="40"/>
      <c r="L8" s="48"/>
    </row>
    <row r="9" spans="1:49" x14ac:dyDescent="0.25">
      <c r="A9" t="s">
        <v>3</v>
      </c>
      <c r="B9" s="40"/>
      <c r="C9" s="40"/>
      <c r="D9" s="40"/>
      <c r="E9" s="40"/>
      <c r="F9" s="40"/>
      <c r="G9" s="40"/>
      <c r="H9" s="40"/>
      <c r="I9" s="40">
        <f>SUM(I7:I8)</f>
        <v>42</v>
      </c>
      <c r="J9" s="40"/>
      <c r="K9" s="40"/>
      <c r="L9" s="48">
        <f>I9*144*1.075</f>
        <v>6501.5999999999995</v>
      </c>
      <c r="N9" s="47"/>
    </row>
    <row r="10" spans="1:49" ht="15.75" thickBot="1" x14ac:dyDescent="0.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8"/>
      <c r="N10" s="47"/>
    </row>
    <row r="11" spans="1:49" ht="15.75" thickBot="1" x14ac:dyDescent="0.3">
      <c r="B11" s="81"/>
      <c r="C11" s="82" t="s">
        <v>33</v>
      </c>
      <c r="D11" s="82"/>
      <c r="E11" s="83"/>
      <c r="G11" s="61"/>
      <c r="H11" s="57" t="s">
        <v>34</v>
      </c>
      <c r="I11" s="58"/>
      <c r="J11" s="58"/>
      <c r="K11" s="65"/>
      <c r="L11" s="59"/>
      <c r="M11" s="60"/>
    </row>
    <row r="12" spans="1:49" x14ac:dyDescent="0.25">
      <c r="B12" t="s">
        <v>11</v>
      </c>
      <c r="C12" t="s">
        <v>13</v>
      </c>
      <c r="E12" t="s">
        <v>12</v>
      </c>
      <c r="G12" s="67" t="s">
        <v>43</v>
      </c>
      <c r="H12" s="40" t="s">
        <v>7</v>
      </c>
      <c r="I12" s="41" t="s">
        <v>10</v>
      </c>
      <c r="K12" s="68" t="s">
        <v>44</v>
      </c>
      <c r="L12" s="40" t="s">
        <v>7</v>
      </c>
      <c r="M12" s="41" t="s">
        <v>10</v>
      </c>
    </row>
    <row r="13" spans="1:49" ht="15.75" thickBot="1" x14ac:dyDescent="0.3">
      <c r="B13" t="s">
        <v>6</v>
      </c>
      <c r="C13" s="40" t="s">
        <v>9</v>
      </c>
      <c r="D13" s="40" t="s">
        <v>8</v>
      </c>
      <c r="E13" s="40" t="s">
        <v>7</v>
      </c>
      <c r="G13" s="63"/>
      <c r="H13" s="40" t="s">
        <v>0</v>
      </c>
      <c r="I13" t="s">
        <v>14</v>
      </c>
      <c r="K13" s="66"/>
      <c r="L13" s="40" t="s">
        <v>0</v>
      </c>
      <c r="M13" t="s">
        <v>14</v>
      </c>
    </row>
    <row r="14" spans="1:49" ht="15.75" thickBot="1" x14ac:dyDescent="0.3">
      <c r="C14" s="40"/>
      <c r="D14" s="40"/>
      <c r="E14" s="40"/>
    </row>
    <row r="15" spans="1:49" ht="15.75" thickBot="1" x14ac:dyDescent="0.3">
      <c r="B15" s="39" t="s">
        <v>12</v>
      </c>
      <c r="G15" s="69"/>
      <c r="H15" s="70"/>
      <c r="I15" s="71"/>
      <c r="J15" s="70" t="s">
        <v>51</v>
      </c>
      <c r="K15" s="72"/>
      <c r="L15" s="73"/>
      <c r="M15" s="74"/>
      <c r="Q15" s="46"/>
    </row>
    <row r="16" spans="1:49" s="7" customFormat="1" ht="15.75" thickBot="1" x14ac:dyDescent="0.3">
      <c r="A16" s="2"/>
      <c r="B16" s="38"/>
      <c r="C16" s="37"/>
      <c r="D16" s="37"/>
      <c r="E16" s="36"/>
      <c r="F16" s="2" t="s">
        <v>5</v>
      </c>
      <c r="G16" s="62">
        <v>50</v>
      </c>
      <c r="H16" s="45">
        <f>H17-H20</f>
        <v>1.4551915228366852E-11</v>
      </c>
      <c r="I16" s="35"/>
      <c r="J16"/>
      <c r="K16" s="64">
        <f>-G16</f>
        <v>-50</v>
      </c>
      <c r="L16" s="34"/>
      <c r="M16" s="3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9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7" customFormat="1" x14ac:dyDescent="0.25">
      <c r="A17" s="2" t="s">
        <v>37</v>
      </c>
      <c r="B17" s="107">
        <f>-SIGN(B21)*(ABS(B21)^C21*D21/D17)^(1/C17)</f>
        <v>6.6679651577848036</v>
      </c>
      <c r="C17" s="125">
        <v>0.6</v>
      </c>
      <c r="D17" s="31">
        <f>L5</f>
        <v>2013.2955425243504</v>
      </c>
      <c r="E17" s="108">
        <f>ABS(B17)^C17*D17</f>
        <v>6284.9745743572084</v>
      </c>
      <c r="F17" s="2" t="s">
        <v>50</v>
      </c>
      <c r="G17" s="20">
        <f>G21-G20+B17</f>
        <v>27.73669000493539</v>
      </c>
      <c r="H17" s="114">
        <f>ABS(G17)^C17*D17</f>
        <v>14782.242129228831</v>
      </c>
      <c r="I17" s="19"/>
      <c r="J17"/>
      <c r="K17" s="18">
        <f>$B17+$K21+K20</f>
        <v>-59.849265918465626</v>
      </c>
      <c r="L17" s="121">
        <f>ABS(K17)^C17*D17</f>
        <v>23449.999012395754</v>
      </c>
      <c r="M17" s="16"/>
      <c r="N17" s="2"/>
      <c r="O17" s="2"/>
      <c r="P17" s="2"/>
      <c r="Q17"/>
      <c r="R17"/>
      <c r="S17"/>
      <c r="T17"/>
      <c r="U17"/>
      <c r="V17"/>
      <c r="W17"/>
      <c r="X17"/>
      <c r="Y17"/>
      <c r="Z17"/>
      <c r="AA17"/>
      <c r="AB17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7" customFormat="1" ht="15.75" x14ac:dyDescent="0.25">
      <c r="A18" s="2"/>
      <c r="B18" s="107"/>
      <c r="C18" s="125"/>
      <c r="D18" s="31"/>
      <c r="E18" s="108"/>
      <c r="F18" s="2" t="s">
        <v>41</v>
      </c>
      <c r="G18" s="44">
        <f>G21-G20</f>
        <v>21.068724847150587</v>
      </c>
      <c r="H18" s="115"/>
      <c r="I18" s="23"/>
      <c r="J18"/>
      <c r="K18" s="116">
        <f>K21+K20</f>
        <v>-66.51723107625044</v>
      </c>
      <c r="L18" s="122"/>
      <c r="M18" s="16"/>
      <c r="N18" s="2"/>
      <c r="O18" s="2"/>
      <c r="P18" s="2"/>
      <c r="Q18"/>
      <c r="R18"/>
      <c r="S18"/>
      <c r="T18"/>
      <c r="U18"/>
      <c r="V18"/>
      <c r="W18"/>
      <c r="X18"/>
      <c r="Y18"/>
      <c r="Z18"/>
      <c r="AA18"/>
      <c r="AB18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7" customFormat="1" x14ac:dyDescent="0.25">
      <c r="A19" s="2"/>
      <c r="B19" s="107"/>
      <c r="C19" s="125"/>
      <c r="D19" s="31"/>
      <c r="E19" s="108"/>
      <c r="F19" s="6" t="s">
        <v>38</v>
      </c>
      <c r="G19" s="20">
        <f>G18-$B21</f>
        <v>46.068724847150591</v>
      </c>
      <c r="H19" s="115"/>
      <c r="I19" s="23">
        <f>G19/G23-1</f>
        <v>-4.0921487810983592E-2</v>
      </c>
      <c r="J19"/>
      <c r="K19" s="18">
        <f>K18-$B21</f>
        <v>-41.51723107625044</v>
      </c>
      <c r="L19" s="122"/>
      <c r="M19" s="117">
        <f>K19/K23-1</f>
        <v>-9.2690401840084813E-2</v>
      </c>
      <c r="N19" s="2"/>
      <c r="O19" s="2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26"/>
      <c r="AH19" s="27"/>
      <c r="AI19" s="26"/>
      <c r="AJ19" s="27"/>
      <c r="AK19" s="26"/>
      <c r="AL19" s="27"/>
      <c r="AM19" s="26"/>
      <c r="AN19" s="27"/>
      <c r="AO19" s="26"/>
      <c r="AP19" s="27"/>
      <c r="AQ19" s="26"/>
      <c r="AR19" s="27"/>
      <c r="AS19" s="26"/>
      <c r="AT19" s="27"/>
      <c r="AU19" s="26"/>
      <c r="AV19" s="27"/>
      <c r="AW19" s="26"/>
    </row>
    <row r="20" spans="1:49" s="7" customFormat="1" ht="15.75" thickBot="1" x14ac:dyDescent="0.3">
      <c r="A20" s="2"/>
      <c r="B20" s="107"/>
      <c r="C20" s="125">
        <v>0.6</v>
      </c>
      <c r="D20" s="31">
        <f>L9</f>
        <v>6501.5999999999995</v>
      </c>
      <c r="E20" s="108"/>
      <c r="F20" s="2" t="s">
        <v>49</v>
      </c>
      <c r="G20" s="20">
        <f>(G21+$B17)/(1+$D20^(1/$C17)/$D17^(1/$C17))</f>
        <v>3.931275152849413</v>
      </c>
      <c r="H20" s="114">
        <f>ABS(G20)^C20*D20</f>
        <v>14782.242129228816</v>
      </c>
      <c r="I20" s="19"/>
      <c r="J20"/>
      <c r="K20" s="18">
        <f>(-K21-$B17)/(1+$D20^(1/$C17)/$D17^(1/$C17))</f>
        <v>8.4827689237495658</v>
      </c>
      <c r="L20" s="121">
        <f>ABS(K20)^C20*D20</f>
        <v>23449.999012395729</v>
      </c>
      <c r="M20" s="117"/>
      <c r="N20" s="2"/>
      <c r="O20" s="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s="7" customFormat="1" ht="16.5" thickBot="1" x14ac:dyDescent="0.3">
      <c r="A21" t="s">
        <v>35</v>
      </c>
      <c r="B21" s="90">
        <v>-25</v>
      </c>
      <c r="C21" s="25">
        <f>C17</f>
        <v>0.6</v>
      </c>
      <c r="D21" s="24">
        <f>L6</f>
        <v>911.04435164509721</v>
      </c>
      <c r="E21" s="109">
        <f>ABS(B21)^C21*D21</f>
        <v>6284.9745743572084</v>
      </c>
      <c r="F21" s="2" t="s">
        <v>42</v>
      </c>
      <c r="G21" s="44">
        <f>G16+B21</f>
        <v>25</v>
      </c>
      <c r="H21" s="114">
        <f>ABS(G21)^C21*D21</f>
        <v>6284.9745743572084</v>
      </c>
      <c r="I21" s="19"/>
      <c r="J21"/>
      <c r="K21" s="116">
        <f>K16+B21</f>
        <v>-75</v>
      </c>
      <c r="L21" s="121">
        <f>ABS(K21)^C21*D21</f>
        <v>12150</v>
      </c>
      <c r="M21" s="117"/>
      <c r="N21" s="2"/>
      <c r="O21" s="2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26"/>
      <c r="AH21" s="27"/>
      <c r="AI21" s="26"/>
      <c r="AJ21" s="27"/>
      <c r="AK21" s="26"/>
      <c r="AL21" s="27"/>
      <c r="AM21" s="26"/>
      <c r="AN21" s="27"/>
      <c r="AO21" s="26"/>
      <c r="AP21" s="27"/>
      <c r="AQ21" s="26"/>
      <c r="AR21" s="27"/>
      <c r="AS21" s="26"/>
      <c r="AT21" s="27"/>
      <c r="AU21" s="26"/>
      <c r="AV21" s="27"/>
      <c r="AW21" s="26"/>
    </row>
    <row r="22" spans="1:49" s="7" customFormat="1" x14ac:dyDescent="0.25">
      <c r="A22" t="s">
        <v>53</v>
      </c>
      <c r="B22" s="2"/>
      <c r="C22" s="2"/>
      <c r="D22" s="2"/>
      <c r="E22" s="2"/>
      <c r="F22" s="111"/>
      <c r="G22" s="112"/>
      <c r="H22" s="114"/>
      <c r="I22" s="23"/>
      <c r="J22"/>
      <c r="K22" s="118"/>
      <c r="L22" s="123"/>
      <c r="M22" s="117"/>
      <c r="N22" s="2"/>
      <c r="O22" s="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49" s="7" customFormat="1" ht="15.75" x14ac:dyDescent="0.25">
      <c r="A23"/>
      <c r="B23" s="2"/>
      <c r="C23" s="2"/>
      <c r="D23"/>
      <c r="E23" s="2"/>
      <c r="F23" s="2" t="s">
        <v>40</v>
      </c>
      <c r="G23" s="20">
        <f>AVERAGE(G19,G24)</f>
        <v>48.034362423575296</v>
      </c>
      <c r="H23" s="114">
        <f>H21+H17</f>
        <v>21067.21670358604</v>
      </c>
      <c r="I23" s="43"/>
      <c r="J23"/>
      <c r="K23" s="18">
        <f>AVERAGE(K18,K21)-B21</f>
        <v>-45.758615538125213</v>
      </c>
      <c r="L23" s="121">
        <f>L21+L17</f>
        <v>35599.999012395754</v>
      </c>
      <c r="M23" s="117"/>
      <c r="N23" s="2" t="s">
        <v>45</v>
      </c>
      <c r="O23" s="124">
        <f>MAX(H24,L24)</f>
        <v>37544.667531569467</v>
      </c>
      <c r="P23" s="9" t="s">
        <v>46</v>
      </c>
      <c r="Q23" s="9"/>
      <c r="R23" s="9"/>
      <c r="S23" s="120">
        <f>G16</f>
        <v>50</v>
      </c>
      <c r="T23" s="9" t="s">
        <v>47</v>
      </c>
      <c r="U23" s="9"/>
      <c r="V23" s="9"/>
      <c r="W23" s="9"/>
      <c r="X23" s="9"/>
      <c r="Y23" s="9"/>
      <c r="Z23" s="9"/>
      <c r="AA23" s="9"/>
      <c r="AB2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7" customFormat="1" ht="15.75" thickBot="1" x14ac:dyDescent="0.3">
      <c r="A24"/>
      <c r="B24" s="2"/>
      <c r="C24" s="2"/>
      <c r="D24"/>
      <c r="E24" s="2"/>
      <c r="F24" s="111" t="s">
        <v>39</v>
      </c>
      <c r="G24" s="15">
        <f>G21-B21</f>
        <v>50</v>
      </c>
      <c r="H24" s="14">
        <f>G24^C17*H23/G23^C17</f>
        <v>21580.323308637118</v>
      </c>
      <c r="I24" s="113">
        <f>G24/G23-1</f>
        <v>4.0921487810983592E-2</v>
      </c>
      <c r="J24"/>
      <c r="K24" s="13">
        <f>K21-B21</f>
        <v>-50</v>
      </c>
      <c r="L24" s="12">
        <f>ABS(K24)^C17*L23/ABS(K23)^C17</f>
        <v>37544.667531569467</v>
      </c>
      <c r="M24" s="119">
        <f>K24/K23-1</f>
        <v>9.2690401840085146E-2</v>
      </c>
      <c r="N24" s="2" t="s">
        <v>2</v>
      </c>
      <c r="O24" s="10">
        <f>AVERAGE(H24,L24)</f>
        <v>29562.495420103292</v>
      </c>
      <c r="P24" t="s"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8"/>
      <c r="AB24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5.75" thickBot="1" x14ac:dyDescent="0.3">
      <c r="F25" t="s">
        <v>1</v>
      </c>
      <c r="H25" s="4">
        <f>H24/$O$37-1</f>
        <v>-0.29425453642918975</v>
      </c>
      <c r="K25" s="5"/>
      <c r="L25" s="4">
        <f>L24/$O$37-1</f>
        <v>0.22783048301572584</v>
      </c>
      <c r="O25" s="42">
        <f>O24/O37-1</f>
        <v>-3.3212026706731956E-2</v>
      </c>
      <c r="P25" s="9" t="s">
        <v>48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2"/>
      <c r="AP25" s="2"/>
      <c r="AQ25" s="2"/>
      <c r="AR25" s="2"/>
      <c r="AS25" s="2"/>
      <c r="AT25" s="2"/>
    </row>
    <row r="26" spans="1:49" ht="15.75" thickBot="1" x14ac:dyDescent="0.3">
      <c r="B26" s="39" t="s">
        <v>52</v>
      </c>
      <c r="G26" s="75"/>
      <c r="H26" s="76"/>
      <c r="I26" s="77"/>
      <c r="J26" s="76" t="s">
        <v>32</v>
      </c>
      <c r="K26" s="78"/>
      <c r="L26" s="79"/>
      <c r="M26" s="80"/>
      <c r="N26" s="2"/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2"/>
      <c r="AP26" s="2"/>
      <c r="AQ26" s="2"/>
      <c r="AR26" s="2"/>
      <c r="AS26" s="2"/>
      <c r="AT26" s="2"/>
    </row>
    <row r="27" spans="1:49" s="7" customFormat="1" ht="15.75" thickBot="1" x14ac:dyDescent="0.3">
      <c r="A27" s="2"/>
      <c r="B27" s="91"/>
      <c r="C27" s="92"/>
      <c r="D27" s="92"/>
      <c r="E27" s="93"/>
      <c r="F27" s="2" t="s">
        <v>5</v>
      </c>
      <c r="G27" s="62">
        <f>G16</f>
        <v>50</v>
      </c>
      <c r="H27" s="45"/>
      <c r="I27" s="35"/>
      <c r="J27"/>
      <c r="K27" s="64">
        <f>K16</f>
        <v>-50</v>
      </c>
      <c r="L27" s="34"/>
      <c r="M27" s="3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7" customFormat="1" x14ac:dyDescent="0.25">
      <c r="A28" s="2"/>
      <c r="B28" s="94">
        <f>-SIGN(B33)*(ABS(B33)^C33*D33/D28)^(1/C28)</f>
        <v>0</v>
      </c>
      <c r="C28" s="95">
        <v>0.6</v>
      </c>
      <c r="D28" s="96">
        <f>L5</f>
        <v>2013.2955425243504</v>
      </c>
      <c r="E28" s="97">
        <f>ABS(B28)^C28*D28</f>
        <v>0</v>
      </c>
      <c r="F28" s="2" t="s">
        <v>54</v>
      </c>
      <c r="G28" s="20">
        <f>G32-G31+B28</f>
        <v>43.792977961700508</v>
      </c>
      <c r="H28" s="114">
        <f>ABS(G28)^C28*D28</f>
        <v>19442.415457553619</v>
      </c>
      <c r="I28" s="19"/>
      <c r="J28"/>
      <c r="K28" s="18">
        <f>$B28+$K32+K31</f>
        <v>-43.792977961700508</v>
      </c>
      <c r="L28" s="121">
        <f>ABS(K28)^C28*D28</f>
        <v>19442.415457553619</v>
      </c>
      <c r="M28" s="16"/>
      <c r="N28" s="2"/>
      <c r="O28" s="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7" customFormat="1" ht="15.75" x14ac:dyDescent="0.25">
      <c r="A29" s="2"/>
      <c r="B29" s="94">
        <f>B33</f>
        <v>0</v>
      </c>
      <c r="C29" s="98"/>
      <c r="D29" s="96"/>
      <c r="E29" s="99"/>
      <c r="F29" s="2" t="s">
        <v>41</v>
      </c>
      <c r="G29" s="44">
        <f>G32-G31</f>
        <v>43.792977961700508</v>
      </c>
      <c r="H29" s="115"/>
      <c r="I29" s="23"/>
      <c r="J29"/>
      <c r="K29" s="18">
        <f>K32+K31</f>
        <v>-43.792977961700508</v>
      </c>
      <c r="L29" s="122"/>
      <c r="M29" s="16"/>
      <c r="N29" s="2"/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7" customFormat="1" x14ac:dyDescent="0.25">
      <c r="A30" s="2"/>
      <c r="B30" s="100"/>
      <c r="C30" s="98"/>
      <c r="D30" s="96"/>
      <c r="E30" s="99"/>
      <c r="F30" s="6" t="s">
        <v>38</v>
      </c>
      <c r="G30" s="20">
        <f>G29</f>
        <v>43.792977961700508</v>
      </c>
      <c r="H30" s="115"/>
      <c r="I30" s="23">
        <f>(G29-B33)/((G29-B33+G32-B33)/2)-1</f>
        <v>-6.617789703653576E-2</v>
      </c>
      <c r="J30"/>
      <c r="K30" s="18">
        <f>K29</f>
        <v>-43.792977961700508</v>
      </c>
      <c r="L30" s="122"/>
      <c r="M30" s="117">
        <f>(K29-F33)/((K29-F33+K32-F33)/2)-1</f>
        <v>-6.617789703653576E-2</v>
      </c>
      <c r="N30" s="2"/>
      <c r="O30" s="2"/>
      <c r="P30" s="27"/>
      <c r="Q30" s="26"/>
      <c r="R30" s="27"/>
      <c r="S30" s="26"/>
      <c r="T30" s="27"/>
      <c r="U30" s="26"/>
      <c r="V30" s="27"/>
      <c r="W30" s="26"/>
      <c r="X30" s="27"/>
      <c r="Y30" s="26"/>
      <c r="Z30" s="27"/>
      <c r="AA30" s="26"/>
      <c r="AB30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7" customFormat="1" x14ac:dyDescent="0.25">
      <c r="A31" s="2"/>
      <c r="B31" s="100"/>
      <c r="C31" s="101">
        <v>0.6</v>
      </c>
      <c r="D31" s="96">
        <f>L9</f>
        <v>6501.5999999999995</v>
      </c>
      <c r="E31" s="99"/>
      <c r="F31" s="2" t="s">
        <v>49</v>
      </c>
      <c r="G31" s="20">
        <f>(G32+$B28)/(1+$D31^(1/$C28)/$D28^(1/$C28))</f>
        <v>6.2070220382994901</v>
      </c>
      <c r="H31" s="114">
        <f>ABS(G31)^C31*D31</f>
        <v>19442.415457553598</v>
      </c>
      <c r="I31" s="19"/>
      <c r="J31"/>
      <c r="K31" s="18">
        <f>(-K32-$B28)/(1+$D31^(1/$C28)/$D28^(1/$C28))</f>
        <v>6.2070220382994901</v>
      </c>
      <c r="L31" s="121">
        <f>ABS(K31)^C31*D31</f>
        <v>19442.415457553598</v>
      </c>
      <c r="M31" s="117"/>
      <c r="N31" s="2"/>
      <c r="O31" s="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7" customFormat="1" ht="15.75" x14ac:dyDescent="0.25">
      <c r="A32" s="2"/>
      <c r="B32" s="100"/>
      <c r="C32" s="98"/>
      <c r="D32" s="96"/>
      <c r="E32" s="99"/>
      <c r="F32" s="2" t="s">
        <v>42</v>
      </c>
      <c r="G32" s="44">
        <f>G27</f>
        <v>50</v>
      </c>
      <c r="H32" s="114">
        <f>ABS(G32)^C33*D33</f>
        <v>9526.24008244986</v>
      </c>
      <c r="I32" s="19"/>
      <c r="J32"/>
      <c r="K32" s="18">
        <f>K27+B33</f>
        <v>-50</v>
      </c>
      <c r="L32" s="121">
        <f>ABS(K32)^C33*D33</f>
        <v>9526.24008244986</v>
      </c>
      <c r="M32" s="117"/>
      <c r="N32" s="2"/>
      <c r="O32" s="2"/>
      <c r="P32" s="27"/>
      <c r="Q32" s="26"/>
      <c r="R32" s="27"/>
      <c r="S32" s="26"/>
      <c r="T32" s="27"/>
      <c r="U32" s="26"/>
      <c r="V32" s="27"/>
      <c r="W32" s="26"/>
      <c r="X32" s="27"/>
      <c r="Y32" s="26"/>
      <c r="Z32" s="27"/>
      <c r="AA32" s="26"/>
      <c r="AB32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7" customFormat="1" ht="15.75" thickBot="1" x14ac:dyDescent="0.3">
      <c r="A33" s="2"/>
      <c r="B33" s="102">
        <v>0</v>
      </c>
      <c r="C33" s="103">
        <f>C28</f>
        <v>0.6</v>
      </c>
      <c r="D33" s="104">
        <f>L6</f>
        <v>911.04435164509721</v>
      </c>
      <c r="E33" s="105">
        <f>ABS(B33)^C33*D33</f>
        <v>0</v>
      </c>
      <c r="F33" s="111"/>
      <c r="G33" s="112"/>
      <c r="H33" s="114"/>
      <c r="I33" s="23"/>
      <c r="J33"/>
      <c r="L33" s="123"/>
      <c r="M33" s="117">
        <f>(K32-F33)/((K29-F33+K32-F33)/2)-1</f>
        <v>6.6177897036535871E-2</v>
      </c>
      <c r="N33" s="2"/>
      <c r="O33" s="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7" customFormat="1" ht="15.75" x14ac:dyDescent="0.25">
      <c r="A34" s="2"/>
      <c r="B34" s="2"/>
      <c r="C34" s="2"/>
      <c r="D34" s="2"/>
      <c r="E34" s="2"/>
      <c r="F34" s="2" t="s">
        <v>40</v>
      </c>
      <c r="G34" s="20">
        <f>AVERAGE(G29,G32)</f>
        <v>46.896488980850251</v>
      </c>
      <c r="H34" s="114">
        <f>H32+H28</f>
        <v>28968.655540003478</v>
      </c>
      <c r="I34" s="43"/>
      <c r="J34"/>
      <c r="K34" s="18">
        <f>AVERAGE(K29,K32)</f>
        <v>-46.896488980850251</v>
      </c>
      <c r="L34" s="121">
        <f>L32+L28</f>
        <v>28968.655540003478</v>
      </c>
      <c r="M34" s="117"/>
      <c r="N34" s="2" t="s">
        <v>45</v>
      </c>
      <c r="O34" s="124">
        <f>MAX(H35,L35)</f>
        <v>30104.134428836929</v>
      </c>
      <c r="P34" s="9" t="s">
        <v>46</v>
      </c>
      <c r="Q34" s="9"/>
      <c r="R34" s="9"/>
      <c r="S34" s="120">
        <f>G27</f>
        <v>50</v>
      </c>
      <c r="T34" s="9" t="s">
        <v>47</v>
      </c>
      <c r="U34"/>
      <c r="V34"/>
      <c r="W34"/>
      <c r="X34"/>
      <c r="Y34"/>
      <c r="Z34"/>
      <c r="AA34"/>
      <c r="AB34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7" customFormat="1" ht="15.75" thickBot="1" x14ac:dyDescent="0.3">
      <c r="A35" s="2"/>
      <c r="B35" s="2"/>
      <c r="C35" s="2"/>
      <c r="D35"/>
      <c r="E35" s="2"/>
      <c r="F35" s="111" t="s">
        <v>39</v>
      </c>
      <c r="G35" s="15">
        <f>G27</f>
        <v>50</v>
      </c>
      <c r="H35" s="14">
        <f>G35^C28*H34/G34^C28</f>
        <v>30104.134428836929</v>
      </c>
      <c r="I35" s="113">
        <f>(G32-B33)/((G29-B33+G32-B33)/2)-1</f>
        <v>6.6177897036535871E-2</v>
      </c>
      <c r="J35"/>
      <c r="K35" s="13">
        <f>ABS(K27)</f>
        <v>50</v>
      </c>
      <c r="L35" s="12">
        <f>K35^C28*L34/ABS(K34)^C28</f>
        <v>30104.134428836929</v>
      </c>
      <c r="M35" s="119"/>
      <c r="N35" s="2" t="s">
        <v>2</v>
      </c>
      <c r="O35" s="10">
        <f>AVERAGE(H35,L35)</f>
        <v>30104.134428836929</v>
      </c>
      <c r="P35" t="s"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9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8"/>
      <c r="AO35" s="2"/>
      <c r="AP35" s="2"/>
      <c r="AQ35" s="2"/>
      <c r="AR35" s="2"/>
      <c r="AS35" s="2"/>
      <c r="AT35" s="2"/>
      <c r="AU35" s="2"/>
      <c r="AV35" s="2"/>
      <c r="AW35" s="2"/>
    </row>
    <row r="36" spans="1:49" x14ac:dyDescent="0.25">
      <c r="F36" t="s">
        <v>1</v>
      </c>
      <c r="H36" s="4">
        <f>H35/$O$37-1</f>
        <v>-1.5498702034076883E-2</v>
      </c>
      <c r="K36" s="5"/>
      <c r="L36" s="4">
        <f>L35/$O$37-1</f>
        <v>-1.5498702034076883E-2</v>
      </c>
      <c r="O36" s="3">
        <f>O35/O37-1</f>
        <v>-1.5498702034076883E-2</v>
      </c>
      <c r="P36" s="9" t="s">
        <v>48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9" x14ac:dyDescent="0.25">
      <c r="N37" t="b">
        <v>1</v>
      </c>
      <c r="O37" s="1">
        <f>G35^C31*L4</f>
        <v>30578.054585641527</v>
      </c>
      <c r="P37" t="s">
        <v>0</v>
      </c>
    </row>
  </sheetData>
  <scenarios current="0">
    <scenario name="G19" count="1" user="Colin Genge" comment="Created by Colin Genge on 9/1/2015">
      <inputCells r="G20" val="32.6931005898537" numFmtId="164"/>
    </scenario>
  </scenario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Genge</dc:creator>
  <cp:lastModifiedBy>Stephen Wong</cp:lastModifiedBy>
  <dcterms:created xsi:type="dcterms:W3CDTF">2015-10-27T19:36:24Z</dcterms:created>
  <dcterms:modified xsi:type="dcterms:W3CDTF">2016-10-13T20:35:34Z</dcterms:modified>
</cp:coreProperties>
</file>