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ngineering\Standards\Results Conversion &amp; Number of Fans Calc\"/>
    </mc:Choice>
  </mc:AlternateContent>
  <bookViews>
    <workbookView xWindow="240" yWindow="150" windowWidth="18195" windowHeight="7740"/>
  </bookViews>
  <sheets>
    <sheet name="Main page" sheetId="1" r:id="rId1"/>
    <sheet name="Conversion factors" sheetId="2" r:id="rId2"/>
  </sheets>
  <definedNames>
    <definedName name="method">'Main page'!$R$10</definedName>
    <definedName name="metric">'Main page'!$R$9</definedName>
  </definedNames>
  <calcPr calcId="152511"/>
</workbook>
</file>

<file path=xl/calcChain.xml><?xml version="1.0" encoding="utf-8"?>
<calcChain xmlns="http://schemas.openxmlformats.org/spreadsheetml/2006/main">
  <c r="A13" i="1" l="1"/>
  <c r="B13" i="1"/>
  <c r="D13" i="1"/>
  <c r="B14" i="1"/>
  <c r="B15" i="1"/>
  <c r="A14" i="1"/>
  <c r="A15" i="1"/>
  <c r="D15" i="1"/>
  <c r="D14" i="1"/>
  <c r="D12" i="1"/>
  <c r="D11" i="1"/>
  <c r="B12" i="1"/>
  <c r="B11" i="1"/>
  <c r="A12" i="1"/>
  <c r="A11" i="1"/>
  <c r="R14" i="1"/>
  <c r="R13" i="1" s="1"/>
  <c r="E16" i="1"/>
  <c r="T13" i="1"/>
  <c r="T11" i="1"/>
  <c r="D16" i="1"/>
  <c r="B13" i="2"/>
  <c r="B12" i="2"/>
  <c r="M12" i="2" s="1"/>
  <c r="L13" i="2" s="1"/>
  <c r="A26" i="1"/>
  <c r="A25" i="1"/>
  <c r="B18" i="2"/>
  <c r="F4" i="2" s="1"/>
  <c r="R11" i="1" l="1"/>
  <c r="R12" i="1"/>
  <c r="U13" i="1"/>
  <c r="A24" i="1" s="1"/>
  <c r="D6" i="2"/>
  <c r="E2" i="2"/>
  <c r="B5" i="2" s="1"/>
  <c r="E4" i="2"/>
  <c r="D5" i="2" s="1"/>
  <c r="D2" i="2"/>
  <c r="B4" i="2" s="1"/>
  <c r="E3" i="2"/>
  <c r="C5" i="2" s="1"/>
  <c r="F3" i="2"/>
  <c r="C2" i="2"/>
  <c r="D3" i="2"/>
  <c r="C4" i="2" s="1"/>
  <c r="F2" i="2"/>
  <c r="R15" i="1" l="1"/>
  <c r="B21" i="2" s="1"/>
  <c r="H2" i="2" s="1"/>
  <c r="B8" i="2" s="1"/>
  <c r="U11" i="1"/>
  <c r="A23" i="1" s="1"/>
  <c r="A22" i="1" s="1"/>
  <c r="R16" i="1"/>
  <c r="B19" i="2" s="1"/>
  <c r="L4" i="2"/>
  <c r="M4" i="2"/>
  <c r="D13" i="2" s="1"/>
  <c r="M5" i="2"/>
  <c r="E13" i="2" s="1"/>
  <c r="L5" i="2"/>
  <c r="R17" i="1"/>
  <c r="B20" i="2" s="1"/>
  <c r="G3" i="2" s="1"/>
  <c r="C7" i="2" s="1"/>
  <c r="C6" i="2"/>
  <c r="B3" i="2"/>
  <c r="B6" i="2"/>
  <c r="F5" i="2"/>
  <c r="N13" i="2" l="1"/>
  <c r="M14" i="2" s="1"/>
  <c r="P5" i="2"/>
  <c r="E16" i="2" s="1"/>
  <c r="P13" i="2"/>
  <c r="M16" i="2" s="1"/>
  <c r="P4" i="2"/>
  <c r="D16" i="2" s="1"/>
  <c r="P12" i="2"/>
  <c r="L16" i="2" s="1"/>
  <c r="O5" i="2"/>
  <c r="E15" i="2" s="1"/>
  <c r="O13" i="2"/>
  <c r="M15" i="2" s="1"/>
  <c r="O4" i="2"/>
  <c r="D15" i="2" s="1"/>
  <c r="O12" i="2"/>
  <c r="L15" i="2" s="1"/>
  <c r="O2" i="2"/>
  <c r="B15" i="2" s="1"/>
  <c r="N5" i="2"/>
  <c r="E14" i="2" s="1"/>
  <c r="N2" i="2"/>
  <c r="B14" i="2" s="1"/>
  <c r="P2" i="2"/>
  <c r="B16" i="2" s="1"/>
  <c r="N4" i="2"/>
  <c r="D14" i="2" s="1"/>
  <c r="N12" i="2"/>
  <c r="L14" i="2" s="1"/>
  <c r="E12" i="2"/>
  <c r="D12" i="2"/>
  <c r="J3" i="2"/>
  <c r="C10" i="2" s="1"/>
  <c r="J7" i="2"/>
  <c r="G10" i="2" s="1"/>
  <c r="I5" i="2"/>
  <c r="E9" i="2" s="1"/>
  <c r="I4" i="2"/>
  <c r="D9" i="2" s="1"/>
  <c r="J6" i="2"/>
  <c r="F10" i="2" s="1"/>
  <c r="J2" i="2"/>
  <c r="B10" i="2" s="1"/>
  <c r="K10" i="2" s="1"/>
  <c r="J5" i="2"/>
  <c r="E10" i="2" s="1"/>
  <c r="J4" i="2"/>
  <c r="D10" i="2" s="1"/>
  <c r="I2" i="2"/>
  <c r="B9" i="2" s="1"/>
  <c r="M9" i="2" s="1"/>
  <c r="O9" i="2" s="1"/>
  <c r="L3" i="2"/>
  <c r="N3" i="2" s="1"/>
  <c r="M3" i="2"/>
  <c r="O3" i="2" s="1"/>
  <c r="M6" i="2"/>
  <c r="O6" i="2" s="1"/>
  <c r="L6" i="2"/>
  <c r="N6" i="2" s="1"/>
  <c r="L8" i="2"/>
  <c r="M8" i="2"/>
  <c r="O8" i="2" s="1"/>
  <c r="G2" i="2"/>
  <c r="B7" i="2" s="1"/>
  <c r="H7" i="2" s="1"/>
  <c r="G8" i="2" s="1"/>
  <c r="H4" i="2"/>
  <c r="D8" i="2" s="1"/>
  <c r="K5" i="2"/>
  <c r="E11" i="2" s="1"/>
  <c r="K4" i="2"/>
  <c r="D11" i="2" s="1"/>
  <c r="H5" i="2"/>
  <c r="E8" i="2" s="1"/>
  <c r="G6" i="2"/>
  <c r="F7" i="2" s="1"/>
  <c r="K2" i="2"/>
  <c r="B11" i="2" s="1"/>
  <c r="G4" i="2"/>
  <c r="D7" i="2" s="1"/>
  <c r="I8" i="2"/>
  <c r="H9" i="2" s="1"/>
  <c r="K8" i="2"/>
  <c r="H11" i="2" s="1"/>
  <c r="H3" i="2"/>
  <c r="C8" i="2" s="1"/>
  <c r="K3" i="2"/>
  <c r="C11" i="2" s="1"/>
  <c r="I3" i="2"/>
  <c r="C9" i="2" s="1"/>
  <c r="J9" i="2" s="1"/>
  <c r="I10" i="2" s="1"/>
  <c r="G5" i="2"/>
  <c r="E7" i="2" s="1"/>
  <c r="E6" i="2"/>
  <c r="K6" i="2"/>
  <c r="F11" i="2" s="1"/>
  <c r="H6" i="2"/>
  <c r="F8" i="2" s="1"/>
  <c r="I6" i="2"/>
  <c r="F9" i="2" s="1"/>
  <c r="P6" i="2" l="1"/>
  <c r="F16" i="2" s="1"/>
  <c r="P3" i="2"/>
  <c r="C16" i="2" s="1"/>
  <c r="J9" i="1"/>
  <c r="J6" i="1"/>
  <c r="P14" i="2"/>
  <c r="N16" i="2" s="1"/>
  <c r="O14" i="2"/>
  <c r="N15" i="2" s="1"/>
  <c r="P15" i="2"/>
  <c r="O16" i="2" s="1"/>
  <c r="N8" i="2"/>
  <c r="H14" i="2" s="1"/>
  <c r="P8" i="2"/>
  <c r="H16" i="2" s="1"/>
  <c r="J8" i="1"/>
  <c r="J17" i="1"/>
  <c r="M10" i="2"/>
  <c r="L10" i="2"/>
  <c r="K9" i="2"/>
  <c r="I11" i="2" s="1"/>
  <c r="L9" i="2"/>
  <c r="C12" i="2"/>
  <c r="C13" i="2"/>
  <c r="F13" i="2"/>
  <c r="F15" i="2"/>
  <c r="F12" i="2"/>
  <c r="F14" i="2"/>
  <c r="I13" i="2"/>
  <c r="I15" i="2"/>
  <c r="H12" i="2"/>
  <c r="H13" i="2"/>
  <c r="H15" i="2"/>
  <c r="M11" i="2"/>
  <c r="O11" i="2" s="1"/>
  <c r="L11" i="2"/>
  <c r="I7" i="2"/>
  <c r="G9" i="2" s="1"/>
  <c r="M7" i="2"/>
  <c r="O7" i="2" s="1"/>
  <c r="L7" i="2"/>
  <c r="K7" i="2"/>
  <c r="G11" i="2" s="1"/>
  <c r="J11" i="2"/>
  <c r="J8" i="2"/>
  <c r="J10" i="1" l="1"/>
  <c r="J12" i="1"/>
  <c r="O10" i="2"/>
  <c r="J15" i="2" s="1"/>
  <c r="P11" i="2"/>
  <c r="K16" i="2" s="1"/>
  <c r="N11" i="2"/>
  <c r="K14" i="2" s="1"/>
  <c r="N10" i="2"/>
  <c r="J14" i="2" s="1"/>
  <c r="P10" i="2"/>
  <c r="J16" i="2" s="1"/>
  <c r="J16" i="1"/>
  <c r="N9" i="2"/>
  <c r="P9" i="2"/>
  <c r="N7" i="2"/>
  <c r="G14" i="2" s="1"/>
  <c r="P7" i="2"/>
  <c r="G16" i="2" s="1"/>
  <c r="J19" i="1"/>
  <c r="J12" i="2"/>
  <c r="I12" i="2"/>
  <c r="J13" i="2"/>
  <c r="C14" i="2"/>
  <c r="J7" i="1" s="1"/>
  <c r="C15" i="2"/>
  <c r="G13" i="2"/>
  <c r="G15" i="2"/>
  <c r="G12" i="2"/>
  <c r="K15" i="2"/>
  <c r="K13" i="2"/>
  <c r="K12" i="2"/>
  <c r="H10" i="2"/>
  <c r="J11" i="1" l="1"/>
  <c r="J15" i="1"/>
  <c r="J14" i="1"/>
  <c r="I14" i="2"/>
  <c r="J18" i="1"/>
  <c r="I16" i="2"/>
  <c r="J20" i="1"/>
  <c r="J13" i="1" l="1"/>
</calcChain>
</file>

<file path=xl/sharedStrings.xml><?xml version="1.0" encoding="utf-8"?>
<sst xmlns="http://schemas.openxmlformats.org/spreadsheetml/2006/main" count="82" uniqueCount="52">
  <si>
    <t>n</t>
  </si>
  <si>
    <t>L</t>
  </si>
  <si>
    <t>W</t>
  </si>
  <si>
    <t>H</t>
  </si>
  <si>
    <t>exponent</t>
  </si>
  <si>
    <t>number of floors</t>
  </si>
  <si>
    <t>N</t>
  </si>
  <si>
    <t>V</t>
  </si>
  <si>
    <t>ft</t>
  </si>
  <si>
    <t>cfm at 75Pa</t>
  </si>
  <si>
    <t>cfm at 25Pa</t>
  </si>
  <si>
    <t>cfm at 50Pa</t>
  </si>
  <si>
    <t>ACH50</t>
  </si>
  <si>
    <t>convert to --&gt;</t>
  </si>
  <si>
    <t>Ae</t>
  </si>
  <si>
    <t>Af</t>
  </si>
  <si>
    <r>
      <t>EfLA (in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at 4Pa)</t>
    </r>
  </si>
  <si>
    <r>
      <t>EqLA (in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at 10Pa)</t>
    </r>
  </si>
  <si>
    <r>
      <t>EfLA (in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at 4Pa) per 100ft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of floor area</t>
    </r>
  </si>
  <si>
    <r>
      <t>cfm at 50Pa per ft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of envelope area</t>
    </r>
  </si>
  <si>
    <r>
      <t>cfm at 75Pa per ft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of envelope area</t>
    </r>
  </si>
  <si>
    <r>
      <t>cfm at 50Pa per ft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of floor area</t>
    </r>
  </si>
  <si>
    <t>Air leakage test result:</t>
  </si>
  <si>
    <t>total height</t>
  </si>
  <si>
    <t>ft3</t>
  </si>
  <si>
    <t>ft2</t>
  </si>
  <si>
    <t>method</t>
  </si>
  <si>
    <t>L/s at 50Pa</t>
  </si>
  <si>
    <t>L/s at 50Pa per m2 of envelope area</t>
  </si>
  <si>
    <r>
      <t>EqLA (in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at 10Pa)</t>
    </r>
  </si>
  <si>
    <r>
      <t>EfLA (in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at 4Pa)</t>
    </r>
  </si>
  <si>
    <r>
      <t>EfLA (in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at 4Pa) per 100ft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of floor area</t>
    </r>
  </si>
  <si>
    <r>
      <t>cfm at 50Pa per ft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of envelope area</t>
    </r>
  </si>
  <si>
    <r>
      <t>cfm at 75Pa per ft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of envelope area</t>
    </r>
  </si>
  <si>
    <r>
      <t>cfm at 50Pa per ft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of floor area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</si>
  <si>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 at 50Pa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</si>
  <si>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 at 50Pa per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of envelope area</t>
    </r>
  </si>
  <si>
    <r>
      <t>L/s at 50Pa per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of envelope area</t>
    </r>
  </si>
  <si>
    <t>(if blank - assumes 0.65)</t>
  </si>
  <si>
    <r>
      <t>floors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(if blank - assumes single story building)</t>
    </r>
  </si>
  <si>
    <t>Inputs</t>
  </si>
  <si>
    <t>Air leakage test result - converted to other units</t>
  </si>
  <si>
    <t>m</t>
  </si>
  <si>
    <t>metric</t>
  </si>
  <si>
    <r>
      <t>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/h at 50Pa per 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of envelope area</t>
    </r>
  </si>
  <si>
    <r>
      <t>L/s at 50Pa per 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of envelope area</t>
    </r>
  </si>
  <si>
    <r>
      <t>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/h at 50Pa</t>
    </r>
  </si>
  <si>
    <r>
      <t>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/h at 75Pa per 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of envelope area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</si>
  <si>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 at 75Pa per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of envelope area</t>
    </r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</si>
  <si>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</si>
  <si>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ft</t>
    </r>
    <r>
      <rPr>
        <vertAlign val="superscript"/>
        <sz val="11"/>
        <color theme="1"/>
        <rFont val="Calibri"/>
        <family val="2"/>
        <scheme val="minor"/>
      </rPr>
      <t>3</t>
    </r>
  </si>
  <si>
    <t>m3/h at 50Pa per m2 of envelope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</si>
</sst>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00000_);_(* \(#,##0.000000\);_(* &quot;-&quot;??_);_(@_)"/>
    <numFmt numFmtId="170" formatCode="_(* #,##0.0000000_);_(* \(#,##0.0000000\);_(* &quot;-&quot;??_);_(@_)"/>
    <numFmt numFmtId="171" formatCode="_(* #,##0.000000000_);_(* \(#,##0.000000000\);_(* &quot;-&quot;??_);_(@_)"/>
    <numFmt numFmtId="172" formatCode="0.0000000"/>
    <numFmt numFmtId="173" formatCode="0.00000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3" fillId="4" borderId="2" applyNumberFormat="0" applyAlignment="0" applyProtection="0"/>
    <xf numFmtId="0" fontId="6" fillId="0" borderId="11" applyNumberFormat="0" applyFill="0" applyAlignment="0" applyProtection="0"/>
    <xf numFmtId="43" fontId="11" fillId="0" borderId="0" applyFont="0" applyFill="0" applyBorder="0" applyAlignment="0" applyProtection="0"/>
    <xf numFmtId="0" fontId="10" fillId="6" borderId="1" applyNumberFormat="0" applyAlignment="0" applyProtection="0"/>
    <xf numFmtId="0" fontId="2" fillId="3" borderId="1" applyNumberFormat="0" applyAlignment="0" applyProtection="0"/>
  </cellStyleXfs>
  <cellXfs count="58">
    <xf numFmtId="0" fontId="0" fillId="0" borderId="0" xfId="0"/>
    <xf numFmtId="0" fontId="0" fillId="5" borderId="0" xfId="0" applyFill="1"/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3" fillId="4" borderId="2" xfId="2" applyAlignment="1">
      <alignment wrapText="1"/>
    </xf>
    <xf numFmtId="0" fontId="3" fillId="4" borderId="2" xfId="2" applyAlignment="1">
      <alignment vertical="center"/>
    </xf>
    <xf numFmtId="0" fontId="0" fillId="5" borderId="0" xfId="0" applyFill="1" applyAlignment="1"/>
    <xf numFmtId="2" fontId="0" fillId="5" borderId="0" xfId="0" applyNumberFormat="1" applyFill="1"/>
    <xf numFmtId="2" fontId="0" fillId="5" borderId="0" xfId="0" applyNumberFormat="1" applyFill="1" applyAlignment="1">
      <alignment horizontal="left"/>
    </xf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5" fillId="5" borderId="6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left"/>
    </xf>
    <xf numFmtId="0" fontId="5" fillId="5" borderId="0" xfId="0" applyFont="1" applyFill="1" applyBorder="1"/>
    <xf numFmtId="0" fontId="8" fillId="5" borderId="0" xfId="0" applyFont="1" applyFill="1" applyBorder="1"/>
    <xf numFmtId="0" fontId="0" fillId="5" borderId="6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164" fontId="3" fillId="4" borderId="15" xfId="2" applyNumberFormat="1" applyBorder="1"/>
    <xf numFmtId="164" fontId="3" fillId="4" borderId="16" xfId="2" applyNumberFormat="1" applyBorder="1"/>
    <xf numFmtId="0" fontId="5" fillId="5" borderId="9" xfId="0" applyFont="1" applyFill="1" applyBorder="1"/>
    <xf numFmtId="0" fontId="8" fillId="5" borderId="3" xfId="0" applyFont="1" applyFill="1" applyBorder="1"/>
    <xf numFmtId="0" fontId="8" fillId="5" borderId="6" xfId="0" applyFont="1" applyFill="1" applyBorder="1"/>
    <xf numFmtId="0" fontId="8" fillId="5" borderId="8" xfId="0" applyFont="1" applyFill="1" applyBorder="1"/>
    <xf numFmtId="2" fontId="3" fillId="4" borderId="15" xfId="2" applyNumberFormat="1" applyBorder="1"/>
    <xf numFmtId="165" fontId="3" fillId="4" borderId="15" xfId="2" applyNumberFormat="1" applyBorder="1"/>
    <xf numFmtId="0" fontId="0" fillId="5" borderId="0" xfId="0" applyFill="1" applyAlignment="1">
      <alignment horizontal="center"/>
    </xf>
    <xf numFmtId="166" fontId="3" fillId="4" borderId="15" xfId="4" applyNumberFormat="1" applyFont="1" applyFill="1" applyBorder="1"/>
    <xf numFmtId="43" fontId="10" fillId="6" borderId="1" xfId="4" applyFont="1" applyFill="1" applyBorder="1"/>
    <xf numFmtId="43" fontId="2" fillId="3" borderId="1" xfId="4" applyFont="1" applyFill="1" applyBorder="1"/>
    <xf numFmtId="167" fontId="2" fillId="3" borderId="1" xfId="4" applyNumberFormat="1" applyFont="1" applyFill="1" applyBorder="1"/>
    <xf numFmtId="168" fontId="2" fillId="3" borderId="1" xfId="4" applyNumberFormat="1" applyFont="1" applyFill="1" applyBorder="1"/>
    <xf numFmtId="169" fontId="2" fillId="3" borderId="1" xfId="4" applyNumberFormat="1" applyFont="1" applyFill="1" applyBorder="1"/>
    <xf numFmtId="170" fontId="2" fillId="3" borderId="1" xfId="4" applyNumberFormat="1" applyFont="1" applyFill="1" applyBorder="1"/>
    <xf numFmtId="171" fontId="2" fillId="3" borderId="1" xfId="4" applyNumberFormat="1" applyFont="1" applyFill="1" applyBorder="1"/>
    <xf numFmtId="172" fontId="2" fillId="3" borderId="1" xfId="6" applyNumberFormat="1"/>
    <xf numFmtId="173" fontId="2" fillId="3" borderId="1" xfId="6" applyNumberFormat="1"/>
    <xf numFmtId="2" fontId="10" fillId="6" borderId="1" xfId="5" applyNumberFormat="1"/>
    <xf numFmtId="43" fontId="1" fillId="2" borderId="9" xfId="4" applyFont="1" applyFill="1" applyBorder="1" applyProtection="1">
      <protection locked="0"/>
    </xf>
    <xf numFmtId="166" fontId="1" fillId="2" borderId="0" xfId="4" applyNumberFormat="1" applyFont="1" applyFill="1" applyBorder="1" applyProtection="1">
      <protection locked="0"/>
    </xf>
    <xf numFmtId="0" fontId="1" fillId="2" borderId="0" xfId="1" applyBorder="1" applyProtection="1">
      <protection locked="0"/>
    </xf>
    <xf numFmtId="3" fontId="1" fillId="2" borderId="0" xfId="1" applyNumberFormat="1" applyBorder="1" applyProtection="1">
      <protection locked="0"/>
    </xf>
    <xf numFmtId="0" fontId="0" fillId="5" borderId="0" xfId="0" applyFill="1" applyProtection="1">
      <protection locked="0"/>
    </xf>
    <xf numFmtId="0" fontId="9" fillId="2" borderId="9" xfId="1" applyFont="1" applyBorder="1" applyAlignment="1" applyProtection="1">
      <alignment horizontal="left"/>
      <protection locked="0"/>
    </xf>
    <xf numFmtId="0" fontId="9" fillId="2" borderId="10" xfId="1" applyFont="1" applyBorder="1" applyAlignment="1" applyProtection="1">
      <alignment horizontal="left"/>
      <protection locked="0"/>
    </xf>
    <xf numFmtId="0" fontId="6" fillId="0" borderId="12" xfId="3" applyBorder="1" applyAlignment="1">
      <alignment horizontal="center"/>
    </xf>
    <xf numFmtId="0" fontId="6" fillId="0" borderId="13" xfId="3" applyBorder="1" applyAlignment="1">
      <alignment horizontal="center"/>
    </xf>
    <xf numFmtId="0" fontId="6" fillId="0" borderId="14" xfId="3" applyBorder="1" applyAlignment="1">
      <alignment horizontal="center"/>
    </xf>
    <xf numFmtId="0" fontId="6" fillId="5" borderId="12" xfId="3" applyFill="1" applyBorder="1" applyAlignment="1">
      <alignment horizontal="center"/>
    </xf>
    <xf numFmtId="0" fontId="6" fillId="5" borderId="13" xfId="3" applyFill="1" applyBorder="1" applyAlignment="1">
      <alignment horizontal="center"/>
    </xf>
    <xf numFmtId="0" fontId="6" fillId="5" borderId="14" xfId="3" applyFill="1" applyBorder="1" applyAlignment="1">
      <alignment horizontal="center"/>
    </xf>
  </cellXfs>
  <cellStyles count="7">
    <cellStyle name="Calculation" xfId="6" builtinId="22"/>
    <cellStyle name="Check Cell" xfId="2" builtinId="23"/>
    <cellStyle name="Comma" xfId="4" builtinId="3"/>
    <cellStyle name="Good" xfId="1" builtinId="26"/>
    <cellStyle name="Heading 1" xfId="3" builtinId="16"/>
    <cellStyle name="Input" xfId="5" builtinId="20"/>
    <cellStyle name="Normal" xfId="0" builtinId="0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R$10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checked="Checked" fmlaLink="$R$9" lockText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57149</xdr:rowOff>
    </xdr:from>
    <xdr:ext cx="3152775" cy="619125"/>
    <xdr:sp macro="" textlink="">
      <xdr:nvSpPr>
        <xdr:cNvPr id="2" name="TextBox 1"/>
        <xdr:cNvSpPr txBox="1"/>
      </xdr:nvSpPr>
      <xdr:spPr>
        <a:xfrm>
          <a:off x="66675" y="57149"/>
          <a:ext cx="3152775" cy="619125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 b="1"/>
            <a:t>Instructions: </a:t>
          </a:r>
          <a:r>
            <a:rPr lang="en-US" sz="1100" b="0"/>
            <a:t>G</a:t>
          </a:r>
          <a:r>
            <a:rPr lang="en-US" sz="1100"/>
            <a:t>reen</a:t>
          </a:r>
          <a:r>
            <a:rPr lang="en-US" sz="1100" baseline="0"/>
            <a:t> cells are inputs. Grey cells are outputs. Any assumptions made are listed below in the assumptions box.</a:t>
          </a:r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19050</xdr:rowOff>
        </xdr:from>
        <xdr:to>
          <xdr:col>7</xdr:col>
          <xdr:colOff>276225</xdr:colOff>
          <xdr:row>7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Enter volume directly (assumes square footprint for envelope area calculations)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28575</xdr:rowOff>
        </xdr:from>
        <xdr:to>
          <xdr:col>6</xdr:col>
          <xdr:colOff>438150</xdr:colOff>
          <xdr:row>6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Enter envelope area directly (assumes square footprint for volume calculations)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</xdr:row>
          <xdr:rowOff>9525</xdr:rowOff>
        </xdr:from>
        <xdr:to>
          <xdr:col>2</xdr:col>
          <xdr:colOff>504825</xdr:colOff>
          <xdr:row>8</xdr:row>
          <xdr:rowOff>228600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Enter length, width and height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9</xdr:row>
          <xdr:rowOff>9525</xdr:rowOff>
        </xdr:from>
        <xdr:to>
          <xdr:col>2</xdr:col>
          <xdr:colOff>342900</xdr:colOff>
          <xdr:row>9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Use metric building dimensions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200025</xdr:rowOff>
        </xdr:from>
        <xdr:to>
          <xdr:col>7</xdr:col>
          <xdr:colOff>485775</xdr:colOff>
          <xdr:row>8</xdr:row>
          <xdr:rowOff>28575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Enter floor area directly (assumes square footprint for volume and envelope area calculations)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V26"/>
  <sheetViews>
    <sheetView tabSelected="1" workbookViewId="0">
      <selection activeCell="E13" sqref="E13"/>
    </sheetView>
  </sheetViews>
  <sheetFormatPr defaultRowHeight="15" x14ac:dyDescent="0.25"/>
  <cols>
    <col min="1" max="1" width="17" style="1" customWidth="1"/>
    <col min="2" max="2" width="3.5703125" style="1" customWidth="1"/>
    <col min="3" max="3" width="11.5703125" style="1" bestFit="1" customWidth="1"/>
    <col min="4" max="4" width="2.42578125" style="1" customWidth="1"/>
    <col min="5" max="5" width="9.140625" style="1"/>
    <col min="6" max="6" width="9.85546875" style="1" customWidth="1"/>
    <col min="7" max="7" width="7.85546875" style="1" customWidth="1"/>
    <col min="8" max="8" width="9.5703125" style="1" customWidth="1"/>
    <col min="9" max="9" width="9.140625" style="1"/>
    <col min="10" max="10" width="10.5703125" style="1" customWidth="1"/>
    <col min="11" max="15" width="9.140625" style="1"/>
    <col min="16" max="16" width="9.140625" style="1" customWidth="1"/>
    <col min="17" max="17" width="9.140625" style="1" hidden="1" customWidth="1"/>
    <col min="18" max="18" width="13" style="1" hidden="1" customWidth="1"/>
    <col min="19" max="19" width="3.42578125" style="1" hidden="1" customWidth="1"/>
    <col min="20" max="22" width="9.140625" style="1" hidden="1" customWidth="1"/>
    <col min="23" max="16384" width="9.140625" style="1"/>
  </cols>
  <sheetData>
    <row r="4" spans="1:22" ht="15.75" thickBot="1" x14ac:dyDescent="0.3"/>
    <row r="5" spans="1:22" ht="20.25" thickBot="1" x14ac:dyDescent="0.35">
      <c r="A5" s="52" t="s">
        <v>40</v>
      </c>
      <c r="B5" s="53"/>
      <c r="C5" s="53"/>
      <c r="D5" s="53"/>
      <c r="E5" s="53"/>
      <c r="F5" s="53"/>
      <c r="G5" s="53"/>
      <c r="H5" s="54"/>
      <c r="J5" s="55" t="s">
        <v>41</v>
      </c>
      <c r="K5" s="56"/>
      <c r="L5" s="56"/>
      <c r="M5" s="56"/>
      <c r="N5" s="56"/>
      <c r="O5" s="56"/>
      <c r="P5" s="57"/>
    </row>
    <row r="6" spans="1:22" ht="16.5" thickTop="1" thickBot="1" x14ac:dyDescent="0.3">
      <c r="A6" s="11"/>
      <c r="B6" s="12"/>
      <c r="C6" s="12"/>
      <c r="D6" s="12"/>
      <c r="E6" s="12"/>
      <c r="F6" s="12"/>
      <c r="G6" s="12"/>
      <c r="H6" s="13"/>
      <c r="J6" s="34">
        <f>$C$20*VLOOKUP($D$20,'Conversion factors'!$A$2:$P$16,2,FALSE)</f>
        <v>173113.50789758677</v>
      </c>
      <c r="K6" s="20" t="s">
        <v>11</v>
      </c>
      <c r="L6" s="12"/>
      <c r="M6" s="12"/>
      <c r="N6" s="12"/>
      <c r="O6" s="12"/>
      <c r="P6" s="13"/>
    </row>
    <row r="7" spans="1:22" ht="16.5" thickTop="1" thickBot="1" x14ac:dyDescent="0.3">
      <c r="A7" s="11"/>
      <c r="B7" s="12"/>
      <c r="C7" s="12"/>
      <c r="D7" s="12"/>
      <c r="E7" s="12"/>
      <c r="F7" s="12"/>
      <c r="G7" s="12"/>
      <c r="H7" s="13"/>
      <c r="J7" s="34">
        <f>$C$20*VLOOKUP($D$20,'Conversion factors'!$A$2:$P$16,3,FALSE)</f>
        <v>225315.08821434513</v>
      </c>
      <c r="K7" s="20" t="s">
        <v>9</v>
      </c>
      <c r="L7" s="12"/>
      <c r="M7" s="12"/>
      <c r="N7" s="12"/>
      <c r="O7" s="12"/>
      <c r="P7" s="13"/>
    </row>
    <row r="8" spans="1:22" ht="16.5" thickTop="1" thickBot="1" x14ac:dyDescent="0.3">
      <c r="A8" s="11"/>
      <c r="B8" s="12"/>
      <c r="C8" s="12"/>
      <c r="D8" s="12"/>
      <c r="E8" s="12"/>
      <c r="F8" s="12"/>
      <c r="G8" s="12"/>
      <c r="H8" s="13"/>
      <c r="J8" s="34">
        <f>$C$20*VLOOKUP($D$20,'Conversion factors'!$A$2:$P$16,4,FALSE)</f>
        <v>110321.83061169311</v>
      </c>
      <c r="K8" s="20" t="s">
        <v>10</v>
      </c>
      <c r="L8" s="12"/>
      <c r="M8" s="12"/>
      <c r="N8" s="12"/>
      <c r="O8" s="12"/>
      <c r="P8" s="13"/>
    </row>
    <row r="9" spans="1:22" ht="18.75" thickTop="1" thickBot="1" x14ac:dyDescent="0.3">
      <c r="A9" s="11"/>
      <c r="B9" s="12"/>
      <c r="C9" s="12"/>
      <c r="D9" s="12"/>
      <c r="E9" s="12"/>
      <c r="F9" s="12"/>
      <c r="G9" s="12"/>
      <c r="H9" s="13"/>
      <c r="J9" s="34">
        <f>$C$20*VLOOKUP($D$20,'Conversion factors'!$A$2:$P$16,5,FALSE)</f>
        <v>17893.488133695395</v>
      </c>
      <c r="K9" s="20" t="s">
        <v>29</v>
      </c>
      <c r="L9" s="12"/>
      <c r="M9" s="12"/>
      <c r="N9" s="12"/>
      <c r="O9" s="12"/>
      <c r="P9" s="13"/>
      <c r="Q9" s="2" t="s">
        <v>43</v>
      </c>
      <c r="R9" s="49" t="b">
        <v>1</v>
      </c>
    </row>
    <row r="10" spans="1:22" ht="18.75" thickTop="1" thickBot="1" x14ac:dyDescent="0.3">
      <c r="A10" s="11"/>
      <c r="B10" s="12"/>
      <c r="C10" s="12"/>
      <c r="D10" s="12"/>
      <c r="E10" s="12"/>
      <c r="F10" s="12"/>
      <c r="G10" s="12"/>
      <c r="H10" s="13"/>
      <c r="J10" s="34">
        <f>$C$20*VLOOKUP($D$20,'Conversion factors'!$A$2:$P$16,6,FALSE)</f>
        <v>9513.3580705856421</v>
      </c>
      <c r="K10" s="20" t="s">
        <v>30</v>
      </c>
      <c r="L10" s="12"/>
      <c r="M10" s="12"/>
      <c r="N10" s="12"/>
      <c r="O10" s="12"/>
      <c r="P10" s="13"/>
      <c r="Q10" s="2" t="s">
        <v>26</v>
      </c>
      <c r="R10" s="49">
        <v>1</v>
      </c>
    </row>
    <row r="11" spans="1:22" ht="18.75" thickTop="1" thickBot="1" x14ac:dyDescent="0.3">
      <c r="A11" s="17" t="str">
        <f>IF(method=2,"Envelope area","")</f>
        <v/>
      </c>
      <c r="B11" s="18" t="str">
        <f>IF(method=2,"Ae","")</f>
        <v/>
      </c>
      <c r="C11" s="46">
        <v>25100</v>
      </c>
      <c r="D11" s="19" t="str">
        <f>IF(method=2,IF(metric,"m2","ft2"),"")</f>
        <v/>
      </c>
      <c r="E11" s="12"/>
      <c r="F11" s="12"/>
      <c r="G11" s="12"/>
      <c r="H11" s="13"/>
      <c r="J11" s="32">
        <f>$C$20*VLOOKUP($D$20,'Conversion factors'!$A$2:$P$16,7,FALSE)</f>
        <v>0.33562369217690924</v>
      </c>
      <c r="K11" s="20" t="s">
        <v>31</v>
      </c>
      <c r="L11" s="12"/>
      <c r="M11" s="12"/>
      <c r="N11" s="12"/>
      <c r="O11" s="12"/>
      <c r="P11" s="13"/>
      <c r="Q11" s="2" t="s">
        <v>1</v>
      </c>
      <c r="R11" s="7">
        <f>IF(method=3,C14*IF(metric,3.2808,1),IF(method=2,(-4*R13+SQRT((4*R13)^2+8*C11*IF(metric,10.76391,1)))/4,IF(method=4,SQRT(C13/R14*IF(metric,10.76391,1)),SQRT(C12*IF(metric,35.31467,1)/R13))))</f>
        <v>532.40314995111282</v>
      </c>
      <c r="S11" s="1" t="s">
        <v>8</v>
      </c>
      <c r="T11" s="33" t="str">
        <f>"------&gt;"</f>
        <v>------&gt;</v>
      </c>
      <c r="U11" s="1">
        <f>R11/3.2808</f>
        <v>162.27845341109267</v>
      </c>
      <c r="V11" s="1" t="s">
        <v>42</v>
      </c>
    </row>
    <row r="12" spans="1:22" ht="16.5" thickTop="1" thickBot="1" x14ac:dyDescent="0.3">
      <c r="A12" s="17" t="str">
        <f>IF(method=1,"Volume","")</f>
        <v>Volume</v>
      </c>
      <c r="B12" s="18" t="str">
        <f>IF(method=1,"V","")</f>
        <v>V</v>
      </c>
      <c r="C12" s="48">
        <v>158000</v>
      </c>
      <c r="D12" s="19" t="str">
        <f>IF(method=1,IF(metric,"m3","ft3"),"")</f>
        <v>m3</v>
      </c>
      <c r="E12" s="12"/>
      <c r="F12" s="12"/>
      <c r="G12" s="12"/>
      <c r="H12" s="13"/>
      <c r="J12" s="31">
        <f>$C$20*VLOOKUP($D$20,'Conversion factors'!$A$2:$P$16,8,FALSE)</f>
        <v>1.8615296928033573</v>
      </c>
      <c r="K12" s="20" t="s">
        <v>12</v>
      </c>
      <c r="L12" s="12"/>
      <c r="M12" s="12"/>
      <c r="N12" s="12"/>
      <c r="O12" s="12"/>
      <c r="P12" s="13"/>
      <c r="Q12" s="2" t="s">
        <v>2</v>
      </c>
      <c r="R12" s="7">
        <f>IF(method=3,C15*IF(metric,3.2808,1),IF(method=2,(-4*R13+SQRT((4*R13)^2+8*C11*IF(metric,10.76391,1)))/4,IF(method=4,SQRT(C13/R14*IF(metric,10.76391,1)),SQRT(C12*IF(metric,35.31467,1)/R13))))</f>
        <v>532.40314995111282</v>
      </c>
      <c r="S12" s="1" t="s">
        <v>8</v>
      </c>
    </row>
    <row r="13" spans="1:22" ht="18.75" thickTop="1" thickBot="1" x14ac:dyDescent="0.3">
      <c r="A13" s="17" t="str">
        <f>IF(method=4,"Total Floor Area","")</f>
        <v/>
      </c>
      <c r="B13" s="18" t="str">
        <f>IF(method=4,"Af","")</f>
        <v/>
      </c>
      <c r="C13" s="46">
        <v>15800</v>
      </c>
      <c r="D13" s="19" t="str">
        <f>IF(method=4,IF(metric,"m2","ft2"),"")</f>
        <v/>
      </c>
      <c r="E13" s="12"/>
      <c r="F13" s="12"/>
      <c r="G13" s="12"/>
      <c r="H13" s="13"/>
      <c r="J13" s="25">
        <f>$C$20*VLOOKUP($D$20,'Conversion factors'!$A$2:$P$16,9,FALSE)</f>
        <v>0.28433930092271326</v>
      </c>
      <c r="K13" s="20" t="s">
        <v>32</v>
      </c>
      <c r="L13" s="12"/>
      <c r="M13" s="12"/>
      <c r="N13" s="12"/>
      <c r="O13" s="12"/>
      <c r="P13" s="13"/>
      <c r="Q13" s="2" t="s">
        <v>3</v>
      </c>
      <c r="R13" s="7">
        <f>IF(C16="",R14*9,C16*IF(metric,3.2808,1))</f>
        <v>19.684800000000003</v>
      </c>
      <c r="S13" s="1" t="s">
        <v>8</v>
      </c>
      <c r="T13" s="33" t="str">
        <f t="shared" ref="T13" si="0">"------&gt;"</f>
        <v>------&gt;</v>
      </c>
      <c r="U13" s="1">
        <f t="shared" ref="U13" si="1">R13/3.2808</f>
        <v>6.0000000000000009</v>
      </c>
      <c r="V13" s="1" t="s">
        <v>42</v>
      </c>
    </row>
    <row r="14" spans="1:22" ht="18.75" thickTop="1" thickBot="1" x14ac:dyDescent="0.3">
      <c r="A14" s="17" t="str">
        <f>IF(method=3,"length","")</f>
        <v/>
      </c>
      <c r="B14" s="18" t="str">
        <f>IF(method=3,"L","")</f>
        <v/>
      </c>
      <c r="C14" s="46">
        <v>100</v>
      </c>
      <c r="D14" s="19" t="str">
        <f>IF(method=3,IF(metric,"m","ft"),"")</f>
        <v/>
      </c>
      <c r="E14" s="12"/>
      <c r="F14" s="12"/>
      <c r="G14" s="12"/>
      <c r="H14" s="13"/>
      <c r="J14" s="25">
        <f>$C$20*VLOOKUP($D$20,'Conversion factors'!$A$2:$P$16,10,FALSE)</f>
        <v>0.37008050641609957</v>
      </c>
      <c r="K14" s="20" t="s">
        <v>33</v>
      </c>
      <c r="L14" s="12"/>
      <c r="M14" s="12"/>
      <c r="N14" s="12"/>
      <c r="O14" s="12"/>
      <c r="P14" s="13"/>
      <c r="Q14" s="2" t="s">
        <v>6</v>
      </c>
      <c r="R14" s="1">
        <f>IF(C17="",1,C17)</f>
        <v>10</v>
      </c>
    </row>
    <row r="15" spans="1:22" ht="18.75" thickTop="1" thickBot="1" x14ac:dyDescent="0.3">
      <c r="A15" s="17" t="str">
        <f>IF(method=3,"width","")</f>
        <v/>
      </c>
      <c r="B15" s="18" t="str">
        <f>IF(method=3,"W","")</f>
        <v/>
      </c>
      <c r="C15" s="46">
        <v>100</v>
      </c>
      <c r="D15" s="19" t="str">
        <f>IF(method=3,IF(metric,"m","ft"),"")</f>
        <v/>
      </c>
      <c r="E15" s="12"/>
      <c r="F15" s="12"/>
      <c r="G15" s="12"/>
      <c r="H15" s="13"/>
      <c r="J15" s="25">
        <f>$C$20*VLOOKUP($D$20,'Conversion factors'!$A$2:$P$16,11,FALSE)</f>
        <v>6.1073066161492565E-2</v>
      </c>
      <c r="K15" s="20" t="s">
        <v>34</v>
      </c>
      <c r="L15" s="12"/>
      <c r="M15" s="12"/>
      <c r="N15" s="12"/>
      <c r="O15" s="12"/>
      <c r="P15" s="13"/>
      <c r="Q15" s="2" t="s">
        <v>7</v>
      </c>
      <c r="R15" s="7">
        <f>R11*R12*R13</f>
        <v>5579717.8599999994</v>
      </c>
      <c r="S15" s="1" t="s">
        <v>24</v>
      </c>
    </row>
    <row r="16" spans="1:22" ht="18.75" thickTop="1" thickBot="1" x14ac:dyDescent="0.3">
      <c r="A16" s="17" t="s">
        <v>23</v>
      </c>
      <c r="B16" s="18" t="s">
        <v>3</v>
      </c>
      <c r="C16" s="46">
        <v>6</v>
      </c>
      <c r="D16" s="19" t="str">
        <f>IF(R9,"m","ft")</f>
        <v>m</v>
      </c>
      <c r="E16" s="21" t="str">
        <f>IF(R9,"(if blank - assumes 2.74 m per floor)","(if blank - assumes 9 ft per floor)")</f>
        <v>(if blank - assumes 2.74 m per floor)</v>
      </c>
      <c r="F16" s="12"/>
      <c r="G16" s="12"/>
      <c r="H16" s="13"/>
      <c r="J16" s="34">
        <f>$C$20*VLOOKUP($D$20,'Conversion factors'!$A$2:$P$16,12,FALSE)</f>
        <v>294121.75416658673</v>
      </c>
      <c r="K16" s="20" t="s">
        <v>35</v>
      </c>
      <c r="L16" s="12"/>
      <c r="M16" s="12"/>
      <c r="N16" s="12"/>
      <c r="O16" s="12"/>
      <c r="P16" s="13"/>
      <c r="Q16" s="2" t="s">
        <v>14</v>
      </c>
      <c r="R16" s="1">
        <f>R11*R12*2+R11*R13*2+R12*R13*2</f>
        <v>608827.22626036499</v>
      </c>
      <c r="S16" s="1" t="s">
        <v>25</v>
      </c>
    </row>
    <row r="17" spans="1:19" ht="16.5" thickTop="1" thickBot="1" x14ac:dyDescent="0.3">
      <c r="A17" s="17" t="s">
        <v>5</v>
      </c>
      <c r="B17" s="18" t="s">
        <v>6</v>
      </c>
      <c r="C17" s="47">
        <v>10</v>
      </c>
      <c r="D17" s="20" t="s">
        <v>39</v>
      </c>
      <c r="E17" s="12"/>
      <c r="F17" s="12"/>
      <c r="G17" s="12"/>
      <c r="H17" s="13"/>
      <c r="J17" s="34">
        <f>$C$20*VLOOKUP($D$20,'Conversion factors'!$A$2:$P$16,13,FALSE)</f>
        <v>81700.469957145528</v>
      </c>
      <c r="K17" s="20" t="s">
        <v>27</v>
      </c>
      <c r="L17" s="12"/>
      <c r="M17" s="12"/>
      <c r="N17" s="12"/>
      <c r="O17" s="12"/>
      <c r="P17" s="13"/>
      <c r="Q17" s="2" t="s">
        <v>15</v>
      </c>
      <c r="R17" s="1">
        <f>R11*R12*R14</f>
        <v>2834531.140778671</v>
      </c>
      <c r="S17" s="1" t="s">
        <v>25</v>
      </c>
    </row>
    <row r="18" spans="1:19" ht="18.75" thickTop="1" thickBot="1" x14ac:dyDescent="0.3">
      <c r="A18" s="17" t="s">
        <v>4</v>
      </c>
      <c r="B18" s="18" t="s">
        <v>0</v>
      </c>
      <c r="C18" s="47">
        <v>0.65</v>
      </c>
      <c r="D18" s="21" t="s">
        <v>38</v>
      </c>
      <c r="E18" s="12"/>
      <c r="F18" s="12"/>
      <c r="G18" s="12"/>
      <c r="H18" s="13"/>
      <c r="J18" s="25">
        <f>$C$20*VLOOKUP($D$20,'Conversion factors'!$A$2:$P$16,14,FALSE)</f>
        <v>5.2</v>
      </c>
      <c r="K18" s="20" t="s">
        <v>36</v>
      </c>
      <c r="L18" s="12"/>
      <c r="M18" s="12"/>
      <c r="N18" s="12"/>
      <c r="O18" s="12"/>
      <c r="P18" s="13"/>
    </row>
    <row r="19" spans="1:19" ht="18.75" thickTop="1" thickBot="1" x14ac:dyDescent="0.3">
      <c r="A19" s="22"/>
      <c r="B19" s="23"/>
      <c r="C19" s="12"/>
      <c r="D19" s="12"/>
      <c r="E19" s="12"/>
      <c r="F19" s="12"/>
      <c r="G19" s="12"/>
      <c r="H19" s="13"/>
      <c r="J19" s="25">
        <f>$C$20*VLOOKUP($D$20,'Conversion factors'!$A$2:$P$16,15,FALSE)</f>
        <v>1.4444441383840363</v>
      </c>
      <c r="K19" s="20" t="s">
        <v>37</v>
      </c>
      <c r="L19" s="12"/>
      <c r="M19" s="12"/>
      <c r="N19" s="12"/>
      <c r="O19" s="12"/>
      <c r="P19" s="13"/>
    </row>
    <row r="20" spans="1:19" ht="18.75" thickTop="1" thickBot="1" x14ac:dyDescent="0.3">
      <c r="A20" s="14"/>
      <c r="B20" s="24" t="s">
        <v>22</v>
      </c>
      <c r="C20" s="45">
        <v>5.2</v>
      </c>
      <c r="D20" s="50" t="s">
        <v>51</v>
      </c>
      <c r="E20" s="50"/>
      <c r="F20" s="50"/>
      <c r="G20" s="50"/>
      <c r="H20" s="51"/>
      <c r="J20" s="26">
        <f>$C$20*VLOOKUP($D$20,'Conversion factors'!$A$2:$P$16,16,FALSE)</f>
        <v>6.7680360299077931</v>
      </c>
      <c r="K20" s="27" t="s">
        <v>48</v>
      </c>
      <c r="L20" s="15"/>
      <c r="M20" s="15"/>
      <c r="N20" s="15"/>
      <c r="O20" s="15"/>
      <c r="P20" s="16"/>
    </row>
    <row r="21" spans="1:19" ht="15.75" thickBot="1" x14ac:dyDescent="0.3"/>
    <row r="22" spans="1:19" ht="20.25" thickBot="1" x14ac:dyDescent="0.35">
      <c r="A22" s="55" t="str">
        <f>"Assumptions: " &amp; IF(AND(A23="",A24="",A25="",A26=""),"None","")</f>
        <v xml:space="preserve">Assumptions: </v>
      </c>
      <c r="B22" s="56"/>
      <c r="C22" s="56"/>
      <c r="D22" s="56"/>
      <c r="E22" s="56"/>
      <c r="F22" s="57"/>
    </row>
    <row r="23" spans="1:19" ht="15.75" thickTop="1" x14ac:dyDescent="0.25">
      <c r="A23" s="28" t="str">
        <f>IF(method&lt;&gt;3,"Square footprint: building length and width assumed to be " &amp; ROUND(IF(metric,U11,R11),1) &amp; IF(metric," m"," ft"),"")</f>
        <v>Square footprint: building length and width assumed to be 162.3 m</v>
      </c>
      <c r="B23" s="9"/>
      <c r="C23" s="9"/>
      <c r="D23" s="9"/>
      <c r="E23" s="9"/>
      <c r="F23" s="10"/>
    </row>
    <row r="24" spans="1:19" x14ac:dyDescent="0.25">
      <c r="A24" s="29" t="str">
        <f>IF(C16="","Height not entered: total building height assumed to be " &amp; ROUND(IF(metric,U13,R13),1) &amp; IF(metric," m"," ft"),"")</f>
        <v/>
      </c>
      <c r="B24" s="12"/>
      <c r="C24" s="12"/>
      <c r="D24" s="12"/>
      <c r="E24" s="12"/>
      <c r="F24" s="13"/>
    </row>
    <row r="25" spans="1:19" x14ac:dyDescent="0.25">
      <c r="A25" s="29" t="str">
        <f>IF(C17="","Number of floors not entered: single story building assumed","")</f>
        <v/>
      </c>
      <c r="B25" s="12"/>
      <c r="C25" s="12"/>
      <c r="D25" s="12"/>
      <c r="E25" s="12"/>
      <c r="F25" s="13"/>
    </row>
    <row r="26" spans="1:19" ht="15.75" thickBot="1" x14ac:dyDescent="0.3">
      <c r="A26" s="30" t="str">
        <f>IF(C18="","Flow exponent not entered: n = 0.65 assumed","")</f>
        <v/>
      </c>
      <c r="B26" s="15"/>
      <c r="C26" s="15"/>
      <c r="D26" s="15"/>
      <c r="E26" s="15"/>
      <c r="F26" s="16"/>
    </row>
  </sheetData>
  <sheetProtection selectLockedCells="1"/>
  <mergeCells count="4">
    <mergeCell ref="D20:H20"/>
    <mergeCell ref="A5:H5"/>
    <mergeCell ref="J5:P5"/>
    <mergeCell ref="A22:F22"/>
  </mergeCells>
  <conditionalFormatting sqref="C11:C12 C14:C15">
    <cfRule type="expression" dxfId="1" priority="2">
      <formula>D11=""</formula>
    </cfRule>
  </conditionalFormatting>
  <conditionalFormatting sqref="C13">
    <cfRule type="expression" dxfId="0" priority="1">
      <formula>D13=""</formula>
    </cfRule>
  </conditionalFormatting>
  <dataValidations count="1">
    <dataValidation type="list" allowBlank="1" showInputMessage="1" showErrorMessage="1" sqref="D20:H20">
      <formula1>$K$6:$K$20</formula1>
    </dataValidation>
  </dataValidations>
  <pageMargins left="0.7" right="0.7" top="0.75" bottom="0.75" header="0.3" footer="0.3"/>
  <pageSetup orientation="portrait" r:id="rId1"/>
  <ignoredErrors>
    <ignoredError sqref="D1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19050</xdr:rowOff>
                  </from>
                  <to>
                    <xdr:col>7</xdr:col>
                    <xdr:colOff>276225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28575</xdr:rowOff>
                  </from>
                  <to>
                    <xdr:col>6</xdr:col>
                    <xdr:colOff>438150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8</xdr:row>
                    <xdr:rowOff>9525</xdr:rowOff>
                  </from>
                  <to>
                    <xdr:col>2</xdr:col>
                    <xdr:colOff>504825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9</xdr:row>
                    <xdr:rowOff>9525</xdr:rowOff>
                  </from>
                  <to>
                    <xdr:col>2</xdr:col>
                    <xdr:colOff>342900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Option Button 6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200025</xdr:rowOff>
                  </from>
                  <to>
                    <xdr:col>7</xdr:col>
                    <xdr:colOff>485775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80" zoomScaleNormal="80" workbookViewId="0">
      <selection activeCell="J6" sqref="J6"/>
    </sheetView>
  </sheetViews>
  <sheetFormatPr defaultRowHeight="15" x14ac:dyDescent="0.25"/>
  <cols>
    <col min="1" max="16" width="14.28515625" style="1" customWidth="1"/>
    <col min="17" max="16384" width="9.140625" style="1"/>
  </cols>
  <sheetData>
    <row r="1" spans="1:16" ht="48.75" customHeight="1" thickTop="1" thickBot="1" x14ac:dyDescent="0.3">
      <c r="A1" s="5" t="s">
        <v>13</v>
      </c>
      <c r="B1" s="4" t="s">
        <v>11</v>
      </c>
      <c r="C1" s="4" t="s">
        <v>9</v>
      </c>
      <c r="D1" s="4" t="s">
        <v>10</v>
      </c>
      <c r="E1" s="4" t="s">
        <v>17</v>
      </c>
      <c r="F1" s="4" t="s">
        <v>16</v>
      </c>
      <c r="G1" s="4" t="s">
        <v>18</v>
      </c>
      <c r="H1" s="4" t="s">
        <v>12</v>
      </c>
      <c r="I1" s="4" t="s">
        <v>19</v>
      </c>
      <c r="J1" s="4" t="s">
        <v>20</v>
      </c>
      <c r="K1" s="4" t="s">
        <v>21</v>
      </c>
      <c r="L1" s="4" t="s">
        <v>46</v>
      </c>
      <c r="M1" s="4" t="s">
        <v>27</v>
      </c>
      <c r="N1" s="4" t="s">
        <v>44</v>
      </c>
      <c r="O1" s="4" t="s">
        <v>45</v>
      </c>
      <c r="P1" s="4" t="s">
        <v>47</v>
      </c>
    </row>
    <row r="2" spans="1:16" ht="48.75" customHeight="1" thickTop="1" thickBot="1" x14ac:dyDescent="0.3">
      <c r="A2" s="4" t="s">
        <v>11</v>
      </c>
      <c r="B2" s="35">
        <v>1</v>
      </c>
      <c r="C2" s="40">
        <f>(75/50)^$B$18</f>
        <v>1.3015453903668834</v>
      </c>
      <c r="D2" s="40">
        <f>(25/50)^$B$18</f>
        <v>0.63728031365963111</v>
      </c>
      <c r="E2" s="40">
        <f>(10/50)^$B$18*SQRT(1.204/(2*10))/0.61*0.7315199</f>
        <v>0.10336274939492941</v>
      </c>
      <c r="F2" s="40">
        <f>(4/50)^$B$18*SQRT(1.204/(2*4))*0.7315199</f>
        <v>5.495445263701608E-2</v>
      </c>
      <c r="G2" s="40">
        <f>F2*100/$B$20</f>
        <v>1.9387492995374043E-6</v>
      </c>
      <c r="H2" s="40">
        <f>60/$B$21</f>
        <v>1.0753231884739062E-5</v>
      </c>
      <c r="I2" s="40">
        <f t="shared" ref="I2:J8" si="0">B2/$B$19</f>
        <v>1.6425021038273179E-6</v>
      </c>
      <c r="J2" s="40">
        <f t="shared" si="0"/>
        <v>2.1377910419043539E-6</v>
      </c>
      <c r="K2" s="40">
        <f t="shared" ref="K2:K10" si="1">B2/$B$20</f>
        <v>3.5279203167451921E-7</v>
      </c>
      <c r="L2" s="40">
        <v>1.699011</v>
      </c>
      <c r="M2" s="40">
        <v>0.47194740000000002</v>
      </c>
      <c r="N2" s="40">
        <f>L2/($B$19*0.092903)</f>
        <v>3.0038095023042911E-5</v>
      </c>
      <c r="O2" s="40">
        <f>M2/($B$19*0.092903)</f>
        <v>8.3439135162032745E-6</v>
      </c>
      <c r="P2" s="42">
        <f>L2*(75/50)^$B$18/($B$19*0.092903)</f>
        <v>3.9095944112643916E-5</v>
      </c>
    </row>
    <row r="3" spans="1:16" ht="48.75" customHeight="1" thickTop="1" thickBot="1" x14ac:dyDescent="0.3">
      <c r="A3" s="4" t="s">
        <v>9</v>
      </c>
      <c r="B3" s="38">
        <f>1/C2</f>
        <v>0.76831742281236692</v>
      </c>
      <c r="C3" s="35">
        <v>1</v>
      </c>
      <c r="D3" s="40">
        <f>(25/75)^$B$18</f>
        <v>0.48963356820002457</v>
      </c>
      <c r="E3" s="40">
        <f>(10/75)^$B$18*SQRT(1.204/(2*10))/0.61*0.7315199</f>
        <v>7.9415401229912683E-2</v>
      </c>
      <c r="F3" s="40">
        <f>(4/75)^$B$18*SQRT(1.204/(2*4))*0.7315199</f>
        <v>4.222246342213648E-2</v>
      </c>
      <c r="G3" s="40">
        <f>F3*100/$B$20</f>
        <v>1.4895748652998601E-6</v>
      </c>
      <c r="H3" s="40">
        <f>B3*60/$B$21</f>
        <v>8.2618954085864872E-6</v>
      </c>
      <c r="I3" s="40">
        <f t="shared" si="0"/>
        <v>1.2619629833764956E-6</v>
      </c>
      <c r="J3" s="40">
        <f t="shared" si="0"/>
        <v>1.6425021038273179E-6</v>
      </c>
      <c r="K3" s="40">
        <f t="shared" si="1"/>
        <v>2.7105626456490554E-7</v>
      </c>
      <c r="L3" s="40">
        <f t="shared" ref="L3:L11" si="2">B3*$L$2</f>
        <v>1.3053797528498623</v>
      </c>
      <c r="M3" s="40">
        <f>B3*$M$2</f>
        <v>0.36260541007099728</v>
      </c>
      <c r="N3" s="40">
        <f t="shared" ref="N3:N12" si="3">L3/($B$19*0.092903)</f>
        <v>2.3078791754297312E-5</v>
      </c>
      <c r="O3" s="40">
        <f t="shared" ref="O3:O14" si="4">M3/($B$19*0.092903)</f>
        <v>6.4107741289385742E-6</v>
      </c>
      <c r="P3" s="42">
        <f t="shared" ref="P3:P15" si="5">L3*(75/50)^$B$18/($B$19*0.092903)</f>
        <v>3.0038095023042904E-5</v>
      </c>
    </row>
    <row r="4" spans="1:16" ht="48.75" customHeight="1" thickTop="1" thickBot="1" x14ac:dyDescent="0.3">
      <c r="A4" s="4" t="s">
        <v>10</v>
      </c>
      <c r="B4" s="38">
        <f>1/D2</f>
        <v>1.5691681957935013</v>
      </c>
      <c r="C4" s="38">
        <f>1/D3</f>
        <v>2.0423436319453514</v>
      </c>
      <c r="D4" s="35">
        <v>1</v>
      </c>
      <c r="E4" s="40">
        <f>(10/25)^$B$18*SQRT(1.204/(2*10))/0.61*0.7315199</f>
        <v>0.1621935389802972</v>
      </c>
      <c r="F4" s="40">
        <f>(4/25)^$B$18*SQRT(1.204/(2*4))*0.7315199</f>
        <v>8.6232779295245962E-2</v>
      </c>
      <c r="G4" s="40">
        <f>F4*100/$B$20</f>
        <v>3.0422237404510239E-6</v>
      </c>
      <c r="H4" s="40">
        <f>B4*60/$B$21</f>
        <v>1.6873629475525147E-5</v>
      </c>
      <c r="I4" s="40">
        <f t="shared" si="0"/>
        <v>2.5773620628497425E-6</v>
      </c>
      <c r="J4" s="40">
        <f t="shared" si="0"/>
        <v>3.3545537122085652E-6</v>
      </c>
      <c r="K4" s="40">
        <f t="shared" si="1"/>
        <v>5.535900358330291E-7</v>
      </c>
      <c r="L4" s="40">
        <f t="shared" si="2"/>
        <v>2.6660340255033126</v>
      </c>
      <c r="M4" s="40">
        <f>B4*$M$2</f>
        <v>0.7405648501674339</v>
      </c>
      <c r="N4" s="40">
        <f t="shared" si="3"/>
        <v>4.7134823372381993E-5</v>
      </c>
      <c r="O4" s="40">
        <f t="shared" si="4"/>
        <v>1.3093003718077702E-5</v>
      </c>
      <c r="P4" s="42">
        <f t="shared" si="5"/>
        <v>6.1348112086081027E-5</v>
      </c>
    </row>
    <row r="5" spans="1:16" ht="48.75" customHeight="1" thickTop="1" thickBot="1" x14ac:dyDescent="0.3">
      <c r="A5" s="4" t="s">
        <v>17</v>
      </c>
      <c r="B5" s="38">
        <f>1/E2</f>
        <v>9.6746652527516481</v>
      </c>
      <c r="C5" s="38">
        <f>1/E3</f>
        <v>12.59201596306157</v>
      </c>
      <c r="D5" s="38">
        <f>1/E4</f>
        <v>6.1654737068255052</v>
      </c>
      <c r="E5" s="35">
        <v>1</v>
      </c>
      <c r="F5" s="40">
        <f>F4/E4</f>
        <v>0.53166593341132573</v>
      </c>
      <c r="G5" s="40">
        <f>F5*100/$B$20</f>
        <v>1.8756750482031125E-5</v>
      </c>
      <c r="H5" s="40">
        <f>B5*60/$B$21</f>
        <v>1.0403391887006612E-4</v>
      </c>
      <c r="I5" s="40">
        <f t="shared" si="0"/>
        <v>1.5890658031469634E-5</v>
      </c>
      <c r="J5" s="40">
        <f t="shared" si="0"/>
        <v>2.0682412710755798E-5</v>
      </c>
      <c r="K5" s="40">
        <f t="shared" si="1"/>
        <v>3.4131448102891297E-6</v>
      </c>
      <c r="L5" s="39">
        <f t="shared" si="2"/>
        <v>16.43736268574283</v>
      </c>
      <c r="M5" s="40">
        <f t="shared" ref="M5:M12" si="6">B5*$M$2</f>
        <v>4.5659331119064834</v>
      </c>
      <c r="N5" s="40">
        <f t="shared" si="3"/>
        <v>2.9060851417828543E-4</v>
      </c>
      <c r="O5" s="40">
        <f t="shared" si="4"/>
        <v>8.0724570167176651E-5</v>
      </c>
      <c r="P5" s="42">
        <f t="shared" si="5"/>
        <v>3.7824017203011651E-4</v>
      </c>
    </row>
    <row r="6" spans="1:16" ht="48.75" customHeight="1" thickTop="1" thickBot="1" x14ac:dyDescent="0.3">
      <c r="A6" s="4" t="s">
        <v>16</v>
      </c>
      <c r="B6" s="38">
        <f>1/F2</f>
        <v>18.196887640846459</v>
      </c>
      <c r="C6" s="38">
        <f>1/F3</f>
        <v>23.684075227967821</v>
      </c>
      <c r="D6" s="38">
        <f>1/F4</f>
        <v>11.596518263387694</v>
      </c>
      <c r="E6" s="39">
        <f>1/F5</f>
        <v>1.8808803369885005</v>
      </c>
      <c r="F6" s="35">
        <v>1</v>
      </c>
      <c r="G6" s="39">
        <f>F6*100/$B$20</f>
        <v>3.5279203167451923E-5</v>
      </c>
      <c r="H6" s="39">
        <f>B6*60/$B$21</f>
        <v>1.9567535238256432E-4</v>
      </c>
      <c r="I6" s="39">
        <f t="shared" si="0"/>
        <v>2.988842623319963E-5</v>
      </c>
      <c r="J6" s="39">
        <f t="shared" si="0"/>
        <v>3.890114338914161E-5</v>
      </c>
      <c r="K6" s="39">
        <f t="shared" si="1"/>
        <v>6.4197169609671713E-6</v>
      </c>
      <c r="L6" s="39">
        <f t="shared" si="2"/>
        <v>30.916712267562183</v>
      </c>
      <c r="M6" s="39">
        <f t="shared" si="6"/>
        <v>8.5879738101896201</v>
      </c>
      <c r="N6" s="40">
        <f t="shared" si="3"/>
        <v>5.4659984007938099E-4</v>
      </c>
      <c r="O6" s="40">
        <f t="shared" si="4"/>
        <v>1.5183325673929108E-4</v>
      </c>
      <c r="P6" s="42">
        <f t="shared" si="5"/>
        <v>7.1142450223059402E-4</v>
      </c>
    </row>
    <row r="7" spans="1:16" ht="48.75" customHeight="1" thickTop="1" thickBot="1" x14ac:dyDescent="0.3">
      <c r="A7" s="4" t="s">
        <v>18</v>
      </c>
      <c r="B7" s="36">
        <f>1/G2</f>
        <v>515796.44683229813</v>
      </c>
      <c r="C7" s="36">
        <f>1/G3</f>
        <v>671332.48774219491</v>
      </c>
      <c r="D7" s="36">
        <f>1/G4</f>
        <v>328706.92142181011</v>
      </c>
      <c r="E7" s="36">
        <f>1/G5</f>
        <v>53314.138872721851</v>
      </c>
      <c r="F7" s="36">
        <f>1/G6</f>
        <v>28345.31140778671</v>
      </c>
      <c r="G7" s="35">
        <v>1</v>
      </c>
      <c r="H7" s="37">
        <f>B7*60/$B$21</f>
        <v>5.5464787981121848</v>
      </c>
      <c r="I7" s="37">
        <f t="shared" si="0"/>
        <v>0.84719674906870501</v>
      </c>
      <c r="J7" s="37">
        <f t="shared" si="0"/>
        <v>1.1026650234841822</v>
      </c>
      <c r="K7" s="37">
        <f t="shared" si="1"/>
        <v>0.1819688764084646</v>
      </c>
      <c r="L7" s="36">
        <f t="shared" si="2"/>
        <v>876343.83692898974</v>
      </c>
      <c r="M7" s="36">
        <f t="shared" si="6"/>
        <v>243428.79201174135</v>
      </c>
      <c r="N7" s="40">
        <f t="shared" si="3"/>
        <v>15.493542682496471</v>
      </c>
      <c r="O7" s="40">
        <f t="shared" si="4"/>
        <v>4.3037609443336358</v>
      </c>
      <c r="P7" s="42">
        <f t="shared" si="5"/>
        <v>20.165549058855838</v>
      </c>
    </row>
    <row r="8" spans="1:16" ht="48.75" customHeight="1" thickTop="1" thickBot="1" x14ac:dyDescent="0.3">
      <c r="A8" s="4" t="s">
        <v>12</v>
      </c>
      <c r="B8" s="36">
        <f>1/H2</f>
        <v>92995.297666666665</v>
      </c>
      <c r="C8" s="36">
        <f>1/H3</f>
        <v>121037.60100384618</v>
      </c>
      <c r="D8" s="36">
        <f>1/H4</f>
        <v>59264.072465884085</v>
      </c>
      <c r="E8" s="36">
        <f>1/H5</f>
        <v>9612.2496476265296</v>
      </c>
      <c r="F8" s="36">
        <f>1/H6</f>
        <v>5110.5056810880451</v>
      </c>
      <c r="G8" s="39">
        <f>1/H7</f>
        <v>0.1802945682115224</v>
      </c>
      <c r="H8" s="35">
        <v>1</v>
      </c>
      <c r="I8" s="39">
        <f t="shared" si="0"/>
        <v>0.15274497206354767</v>
      </c>
      <c r="J8" s="39">
        <f t="shared" si="0"/>
        <v>0.19880451429102886</v>
      </c>
      <c r="K8" s="39">
        <f t="shared" si="1"/>
        <v>3.2808000000000011E-2</v>
      </c>
      <c r="L8" s="36">
        <f t="shared" si="2"/>
        <v>158000.033683941</v>
      </c>
      <c r="M8" s="36">
        <f t="shared" si="6"/>
        <v>43888.8889460094</v>
      </c>
      <c r="N8" s="40">
        <f t="shared" si="3"/>
        <v>2.7934015880074936</v>
      </c>
      <c r="O8" s="40">
        <f t="shared" si="4"/>
        <v>0.77594472114424673</v>
      </c>
      <c r="P8" s="42">
        <f t="shared" si="5"/>
        <v>3.6357389603146855</v>
      </c>
    </row>
    <row r="9" spans="1:16" ht="48.75" customHeight="1" thickTop="1" thickBot="1" x14ac:dyDescent="0.3">
      <c r="A9" s="4" t="s">
        <v>19</v>
      </c>
      <c r="B9" s="36">
        <f>1/I2</f>
        <v>608827.22626036499</v>
      </c>
      <c r="C9" s="36">
        <f>1/I3</f>
        <v>792416.26986903371</v>
      </c>
      <c r="D9" s="36">
        <f>1/I4</f>
        <v>387993.60571572866</v>
      </c>
      <c r="E9" s="36">
        <f>1/I5</f>
        <v>62930.056012760084</v>
      </c>
      <c r="F9" s="36">
        <f>1/I6</f>
        <v>33457.7669696511</v>
      </c>
      <c r="G9" s="38">
        <f>1/I7</f>
        <v>1.1803633584515834</v>
      </c>
      <c r="H9" s="38">
        <f>1/I8</f>
        <v>6.5468603417201994</v>
      </c>
      <c r="I9" s="35">
        <v>1</v>
      </c>
      <c r="J9" s="38">
        <f>C9/$B$19</f>
        <v>1.3015453903668837</v>
      </c>
      <c r="K9" s="38">
        <f t="shared" si="1"/>
        <v>0.21478939409115635</v>
      </c>
      <c r="L9" s="36">
        <f t="shared" si="2"/>
        <v>1034404.154515849</v>
      </c>
      <c r="M9" s="36">
        <f t="shared" si="6"/>
        <v>287334.42648279096</v>
      </c>
      <c r="N9" s="40">
        <f t="shared" si="3"/>
        <v>18.288010075024488</v>
      </c>
      <c r="O9" s="40">
        <f t="shared" si="4"/>
        <v>5.0800017222264078</v>
      </c>
      <c r="P9" s="42">
        <f t="shared" si="5"/>
        <v>23.802675212131241</v>
      </c>
    </row>
    <row r="10" spans="1:16" ht="48.75" customHeight="1" thickTop="1" thickBot="1" x14ac:dyDescent="0.3">
      <c r="A10" s="4" t="s">
        <v>20</v>
      </c>
      <c r="B10" s="36">
        <f>1/J2</f>
        <v>467772.56541836547</v>
      </c>
      <c r="C10" s="36">
        <f>1/J3</f>
        <v>608827.22626036499</v>
      </c>
      <c r="D10" s="36">
        <f>1/J4</f>
        <v>298102.24721118616</v>
      </c>
      <c r="E10" s="36">
        <f>1/J5</f>
        <v>48350.258453161725</v>
      </c>
      <c r="F10" s="36">
        <f>1/J6</f>
        <v>25706.18529117907</v>
      </c>
      <c r="G10" s="39">
        <f>1/J7</f>
        <v>0.90689373354767078</v>
      </c>
      <c r="H10" s="39">
        <f>1/J8</f>
        <v>5.0300668652629561</v>
      </c>
      <c r="I10" s="39">
        <f>1/J9</f>
        <v>0.76831742281236681</v>
      </c>
      <c r="J10" s="35">
        <v>1</v>
      </c>
      <c r="K10" s="38">
        <f t="shared" si="1"/>
        <v>0.16502643371554709</v>
      </c>
      <c r="L10" s="36">
        <f t="shared" si="2"/>
        <v>794750.73414402257</v>
      </c>
      <c r="M10" s="36">
        <f t="shared" si="6"/>
        <v>220764.04604052749</v>
      </c>
      <c r="N10" s="40">
        <f t="shared" si="3"/>
        <v>14.050996769209418</v>
      </c>
      <c r="O10" s="40">
        <f t="shared" si="4"/>
        <v>3.9030538311033798</v>
      </c>
      <c r="P10" s="42">
        <f t="shared" si="5"/>
        <v>18.288010075024491</v>
      </c>
    </row>
    <row r="11" spans="1:16" ht="48.75" customHeight="1" thickTop="1" thickBot="1" x14ac:dyDescent="0.3">
      <c r="A11" s="4" t="s">
        <v>21</v>
      </c>
      <c r="B11" s="36">
        <f>1/K2</f>
        <v>2834531.140778671</v>
      </c>
      <c r="C11" s="36">
        <f>1/K3</f>
        <v>3689270.9401318631</v>
      </c>
      <c r="D11" s="36">
        <f>1/K4</f>
        <v>1806390.8944734235</v>
      </c>
      <c r="E11" s="36">
        <f>1/K5</f>
        <v>292984.93195642915</v>
      </c>
      <c r="F11" s="36">
        <f>1/K6</f>
        <v>155770.10732406864</v>
      </c>
      <c r="G11" s="39">
        <f>1/K7</f>
        <v>5.4954452637016074</v>
      </c>
      <c r="H11" s="39">
        <f>1/K8</f>
        <v>30.480370641306987</v>
      </c>
      <c r="I11" s="39">
        <f>1/K9</f>
        <v>4.6557233620930152</v>
      </c>
      <c r="J11" s="39">
        <f>1/K10</f>
        <v>6.0596352807555718</v>
      </c>
      <c r="K11" s="35">
        <v>1</v>
      </c>
      <c r="L11" s="36">
        <f t="shared" si="2"/>
        <v>4815899.5880255103</v>
      </c>
      <c r="M11" s="36">
        <f t="shared" si="6"/>
        <v>1337749.6021095279</v>
      </c>
      <c r="N11" s="40">
        <f t="shared" si="3"/>
        <v>85.143915752483935</v>
      </c>
      <c r="O11" s="40">
        <f t="shared" si="4"/>
        <v>23.651082697642241</v>
      </c>
      <c r="P11" s="42">
        <f t="shared" si="5"/>
        <v>110.81867106543174</v>
      </c>
    </row>
    <row r="12" spans="1:16" ht="48.75" customHeight="1" thickTop="1" thickBot="1" x14ac:dyDescent="0.3">
      <c r="A12" s="4" t="s">
        <v>46</v>
      </c>
      <c r="B12" s="41">
        <f>1/L2</f>
        <v>0.58857770785474606</v>
      </c>
      <c r="C12" s="41">
        <f>1/L3</f>
        <v>0.76606060253105102</v>
      </c>
      <c r="D12" s="41">
        <f>1/L4</f>
        <v>0.3750889862747393</v>
      </c>
      <c r="E12" s="41">
        <f>1/L5</f>
        <v>6.0837010116432097E-2</v>
      </c>
      <c r="F12" s="41">
        <f>1/L6</f>
        <v>3.2344965769507128E-2</v>
      </c>
      <c r="G12" s="41">
        <f>1/L7</f>
        <v>1.1411046188267198E-6</v>
      </c>
      <c r="H12" s="41">
        <f>1/L8</f>
        <v>6.3291125747502876E-6</v>
      </c>
      <c r="I12" s="41">
        <f>1/L9</f>
        <v>9.66740123417281E-7</v>
      </c>
      <c r="J12" s="41">
        <f>1/L10</f>
        <v>1.2582561513164739E-6</v>
      </c>
      <c r="K12" s="41">
        <f>1/L11</f>
        <v>2.076455253524075E-7</v>
      </c>
      <c r="L12" s="35">
        <v>1</v>
      </c>
      <c r="M12" s="39">
        <f t="shared" si="6"/>
        <v>0.27777771892000697</v>
      </c>
      <c r="N12" s="40">
        <f t="shared" si="3"/>
        <v>1.7679753116985653E-5</v>
      </c>
      <c r="O12" s="40">
        <f t="shared" si="4"/>
        <v>4.9110414919051571E-6</v>
      </c>
      <c r="P12" s="42">
        <f t="shared" si="5"/>
        <v>2.3011001172237214E-5</v>
      </c>
    </row>
    <row r="13" spans="1:16" ht="48.75" customHeight="1" thickTop="1" thickBot="1" x14ac:dyDescent="0.3">
      <c r="A13" s="4" t="s">
        <v>27</v>
      </c>
      <c r="B13" s="41">
        <f>1/M2</f>
        <v>2.1188801972423197</v>
      </c>
      <c r="C13" s="41">
        <f>1/M3</f>
        <v>2.7578187534604139</v>
      </c>
      <c r="D13" s="41">
        <f>1/M4</f>
        <v>1.3503206367057665</v>
      </c>
      <c r="E13" s="41">
        <f>1/M5</f>
        <v>0.2190132828254365</v>
      </c>
      <c r="F13" s="41">
        <f>1/M6</f>
        <v>0.11644190144286436</v>
      </c>
      <c r="G13" s="41">
        <f>1/M7</f>
        <v>4.1079774982072247E-6</v>
      </c>
      <c r="H13" s="41">
        <f>1/M8</f>
        <v>2.2784810096928304E-5</v>
      </c>
      <c r="I13" s="41">
        <f>1/M9</f>
        <v>3.4802651817285527E-6</v>
      </c>
      <c r="J13" s="41">
        <f>1/M10</f>
        <v>4.5297231045331615E-6</v>
      </c>
      <c r="K13" s="41">
        <f>1/M11</f>
        <v>7.4752404966002388E-7</v>
      </c>
      <c r="L13" s="38">
        <f>1/M12</f>
        <v>3.6000007627968715</v>
      </c>
      <c r="M13" s="35">
        <v>1</v>
      </c>
      <c r="N13" s="40">
        <f>L13/($B$19*0.092903)</f>
        <v>6.3647124707208707E-5</v>
      </c>
      <c r="O13" s="40">
        <f t="shared" si="4"/>
        <v>1.7679753116985653E-5</v>
      </c>
      <c r="P13" s="42">
        <f t="shared" si="5"/>
        <v>8.2839621772773673E-5</v>
      </c>
    </row>
    <row r="14" spans="1:16" ht="48.75" customHeight="1" thickTop="1" thickBot="1" x14ac:dyDescent="0.3">
      <c r="A14" s="4" t="s">
        <v>44</v>
      </c>
      <c r="B14" s="36">
        <f>1/N2</f>
        <v>33291.059211074375</v>
      </c>
      <c r="C14" s="36">
        <f>1/N3</f>
        <v>43329.824656604833</v>
      </c>
      <c r="D14" s="36">
        <f>1/N4</f>
        <v>21215.736656094829</v>
      </c>
      <c r="E14" s="36">
        <f>1/N5</f>
        <v>3441.0554103260374</v>
      </c>
      <c r="F14" s="36">
        <f>1/N6</f>
        <v>1829.4919366510849</v>
      </c>
      <c r="G14" s="39">
        <f>1/N7</f>
        <v>6.45430177263287E-2</v>
      </c>
      <c r="H14" s="39">
        <f>1/N8</f>
        <v>0.35798647938526101</v>
      </c>
      <c r="I14" s="39">
        <f>1/N9</f>
        <v>5.4680634792829474E-2</v>
      </c>
      <c r="J14" s="39">
        <f>1/N10</f>
        <v>7.1169328156942227E-2</v>
      </c>
      <c r="K14" s="39">
        <f>1/N11</f>
        <v>1.1744820415671646E-2</v>
      </c>
      <c r="L14" s="36">
        <f>1/N12</f>
        <v>56561.87580126668</v>
      </c>
      <c r="M14" s="36">
        <f>1/N13</f>
        <v>15711.628837912602</v>
      </c>
      <c r="N14" s="35">
        <v>1</v>
      </c>
      <c r="O14" s="40">
        <f t="shared" si="4"/>
        <v>0.27777771892000697</v>
      </c>
      <c r="P14" s="42">
        <f t="shared" si="5"/>
        <v>1.3015453903668832</v>
      </c>
    </row>
    <row r="15" spans="1:16" ht="48.75" customHeight="1" thickTop="1" thickBot="1" x14ac:dyDescent="0.3">
      <c r="A15" s="4" t="s">
        <v>28</v>
      </c>
      <c r="B15" s="36">
        <f>1/O2</f>
        <v>119847.83855418355</v>
      </c>
      <c r="C15" s="36">
        <f>1/O3</f>
        <v>155987.40181563207</v>
      </c>
      <c r="D15" s="36">
        <f>1/O4</f>
        <v>76376.668145238931</v>
      </c>
      <c r="E15" s="36">
        <f>1/O5</f>
        <v>12387.802102000032</v>
      </c>
      <c r="F15" s="36">
        <f>1/O6</f>
        <v>6586.1723674746299</v>
      </c>
      <c r="G15" s="39">
        <f>1/O7</f>
        <v>0.23235491304799527</v>
      </c>
      <c r="H15" s="39">
        <f>1/O8</f>
        <v>1.2887515988579059</v>
      </c>
      <c r="I15" s="39">
        <f>1/O9</f>
        <v>0.19685032696440324</v>
      </c>
      <c r="J15" s="39">
        <f>1/O10</f>
        <v>0.25620963565273286</v>
      </c>
      <c r="K15" s="39">
        <f>1/O11</f>
        <v>4.2281362455330186E-2</v>
      </c>
      <c r="L15" s="36">
        <f>1/O12</f>
        <v>203622.79602978198</v>
      </c>
      <c r="M15" s="36">
        <f>1/O13</f>
        <v>56561.87580126668</v>
      </c>
      <c r="N15" s="38">
        <f>1/O14</f>
        <v>3.6000007627968715</v>
      </c>
      <c r="O15" s="35">
        <v>1</v>
      </c>
      <c r="P15" s="42">
        <f t="shared" si="5"/>
        <v>4.6855643981355328</v>
      </c>
    </row>
    <row r="16" spans="1:16" ht="48.75" customHeight="1" thickTop="1" thickBot="1" x14ac:dyDescent="0.3">
      <c r="A16" s="4" t="s">
        <v>47</v>
      </c>
      <c r="B16" s="36">
        <f>1/P2</f>
        <v>25578.100815746577</v>
      </c>
      <c r="C16" s="36">
        <f>1/P3</f>
        <v>33291.059211074382</v>
      </c>
      <c r="D16" s="36">
        <f>1/P4</f>
        <v>16300.420110676643</v>
      </c>
      <c r="E16" s="36">
        <f>1/P5</f>
        <v>2643.822824616253</v>
      </c>
      <c r="F16" s="36">
        <f>1/P6</f>
        <v>1405.6305298237676</v>
      </c>
      <c r="G16" s="39">
        <f>1/P7</f>
        <v>4.9589525040025784E-2</v>
      </c>
      <c r="H16" s="39">
        <f>1/P8</f>
        <v>0.27504724924295626</v>
      </c>
      <c r="I16" s="39">
        <f>1/P9</f>
        <v>4.2012084401770997E-2</v>
      </c>
      <c r="J16" s="39">
        <f>1/P10</f>
        <v>5.4680634792829468E-2</v>
      </c>
      <c r="K16" s="39">
        <f>1/P11</f>
        <v>9.0237501531629117E-3</v>
      </c>
      <c r="L16" s="36">
        <f>1/P12</f>
        <v>43457.474645062408</v>
      </c>
      <c r="M16" s="36">
        <f>1/P13</f>
        <v>12071.518176929474</v>
      </c>
      <c r="N16" s="38">
        <f>1/P14</f>
        <v>0.76831742281236715</v>
      </c>
      <c r="O16" s="43">
        <f>1/P15</f>
        <v>0.21342146111531779</v>
      </c>
      <c r="P16" s="44">
        <v>1</v>
      </c>
    </row>
    <row r="17" spans="1:4" ht="15.75" thickTop="1" x14ac:dyDescent="0.25"/>
    <row r="18" spans="1:4" x14ac:dyDescent="0.25">
      <c r="A18" s="2" t="s">
        <v>0</v>
      </c>
      <c r="B18" s="3">
        <f>IF('Main page'!$C$18="",0.65,'Main page'!$C$18)</f>
        <v>0.65</v>
      </c>
      <c r="C18" s="6"/>
      <c r="D18" s="6"/>
    </row>
    <row r="19" spans="1:4" ht="17.25" x14ac:dyDescent="0.25">
      <c r="A19" s="2" t="s">
        <v>14</v>
      </c>
      <c r="B19" s="3">
        <f>'Main page'!$R$16</f>
        <v>608827.22626036499</v>
      </c>
      <c r="C19" s="1" t="s">
        <v>49</v>
      </c>
    </row>
    <row r="20" spans="1:4" ht="17.25" x14ac:dyDescent="0.25">
      <c r="A20" s="2" t="s">
        <v>15</v>
      </c>
      <c r="B20" s="3">
        <f>'Main page'!$R$17</f>
        <v>2834531.140778671</v>
      </c>
      <c r="C20" s="1" t="s">
        <v>49</v>
      </c>
    </row>
    <row r="21" spans="1:4" ht="17.25" x14ac:dyDescent="0.25">
      <c r="A21" s="2" t="s">
        <v>7</v>
      </c>
      <c r="B21" s="8">
        <f>'Main page'!$R$15</f>
        <v>5579717.8599999994</v>
      </c>
      <c r="C21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Main page</vt:lpstr>
      <vt:lpstr>Conversion factors</vt:lpstr>
      <vt:lpstr>method</vt:lpstr>
      <vt:lpstr>metric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Denali Jones</dc:creator>
  <cp:lastModifiedBy>Colin Genge</cp:lastModifiedBy>
  <dcterms:created xsi:type="dcterms:W3CDTF">2012-04-16T20:25:46Z</dcterms:created>
  <dcterms:modified xsi:type="dcterms:W3CDTF">2014-01-15T02:04:40Z</dcterms:modified>
</cp:coreProperties>
</file>