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7A2D7E96-6E34-419A-AE5F-296B3A7E7977}"/>
  <workbookPr codeName="ThisWorkbook"/>
  <mc:AlternateContent xmlns:mc="http://schemas.openxmlformats.org/markup-compatibility/2006">
    <mc:Choice Requires="x15">
      <x15ac:absPath xmlns:x15ac="http://schemas.microsoft.com/office/spreadsheetml/2010/11/ac" url="M:\Products\Software by Rt\Duct Leakage Test Report\"/>
    </mc:Choice>
  </mc:AlternateContent>
  <bookViews>
    <workbookView xWindow="135" yWindow="165" windowWidth="25485" windowHeight="14790" tabRatio="0"/>
  </bookViews>
  <sheets>
    <sheet name="Test Report" sheetId="3" r:id="rId1"/>
    <sheet name="Requirements" sheetId="4" state="veryHidden" r:id="rId2"/>
  </sheets>
  <definedNames>
    <definedName name="_xlnm.Print_Area" localSheetId="0">'Test Report'!$B$60:$J$111</definedName>
  </definedNames>
  <calcPr calcId="152511"/>
</workbook>
</file>

<file path=xl/calcChain.xml><?xml version="1.0" encoding="utf-8"?>
<calcChain xmlns="http://schemas.openxmlformats.org/spreadsheetml/2006/main">
  <c r="F93" i="3" l="1"/>
  <c r="F85" i="3" l="1"/>
  <c r="H16" i="3"/>
  <c r="H69" i="3"/>
  <c r="H68" i="3"/>
  <c r="G69" i="3"/>
  <c r="G68" i="3"/>
  <c r="J60" i="3"/>
  <c r="F87" i="3"/>
  <c r="H67" i="3"/>
  <c r="H66" i="3"/>
  <c r="H65" i="3"/>
  <c r="G65" i="3"/>
  <c r="H14" i="3"/>
  <c r="H15" i="3"/>
  <c r="C37" i="3" s="1"/>
  <c r="F86" i="3" s="1"/>
  <c r="G78" i="3"/>
  <c r="I14" i="3"/>
  <c r="H13" i="3"/>
  <c r="E95" i="3" s="1"/>
  <c r="F89" i="3"/>
  <c r="E69" i="3"/>
  <c r="E71" i="3"/>
  <c r="H71" i="3"/>
  <c r="H70" i="3"/>
  <c r="G83" i="3"/>
  <c r="G82" i="3"/>
  <c r="F82" i="3"/>
  <c r="G81" i="3"/>
  <c r="F83" i="3"/>
  <c r="F81" i="3"/>
  <c r="E110" i="3"/>
  <c r="E109" i="3"/>
  <c r="E108" i="3"/>
  <c r="E66" i="3"/>
  <c r="E67" i="3"/>
  <c r="E68" i="3"/>
  <c r="E65" i="3"/>
  <c r="D68" i="3"/>
  <c r="D65" i="3"/>
  <c r="G75" i="3"/>
  <c r="G76" i="3"/>
  <c r="F88" i="3"/>
  <c r="E98" i="3"/>
  <c r="E99" i="3"/>
  <c r="H95" i="3" l="1"/>
  <c r="F90" i="3"/>
  <c r="F96" i="3" s="1"/>
  <c r="C53" i="3"/>
  <c r="C56" i="3" s="1"/>
  <c r="E70" i="3"/>
  <c r="B38" i="3"/>
  <c r="D53" i="3"/>
  <c r="D56" i="3" s="1"/>
  <c r="F92" i="3" l="1"/>
  <c r="C43" i="3"/>
  <c r="F91" i="3"/>
  <c r="F98" i="3" s="1"/>
  <c r="F95" i="3"/>
  <c r="F100" i="3" s="1"/>
  <c r="E107" i="3"/>
  <c r="F97" i="3" l="1"/>
  <c r="F107" i="3" s="1"/>
  <c r="F101" i="3"/>
  <c r="F99" i="3"/>
  <c r="F109" i="3" l="1"/>
  <c r="F110" i="3"/>
  <c r="F108" i="3"/>
</calcChain>
</file>

<file path=xl/comments1.xml><?xml version="1.0" encoding="utf-8"?>
<comments xmlns="http://schemas.openxmlformats.org/spreadsheetml/2006/main">
  <authors>
    <author>Stephen</author>
  </authors>
  <commentList>
    <comment ref="C2" authorId="0" shapeId="0">
      <text>
        <r>
          <rPr>
            <b/>
            <sz val="9"/>
            <color indexed="81"/>
            <rFont val="Tahoma"/>
            <family val="2"/>
          </rPr>
          <t>Imperial</t>
        </r>
        <r>
          <rPr>
            <sz val="9"/>
            <color indexed="81"/>
            <rFont val="Tahoma"/>
            <family val="2"/>
          </rPr>
          <t>: CFM, ft</t>
        </r>
        <r>
          <rPr>
            <vertAlign val="superscript"/>
            <sz val="9"/>
            <color indexed="81"/>
            <rFont val="Tahoma"/>
            <family val="2"/>
          </rPr>
          <t>2</t>
        </r>
        <r>
          <rPr>
            <sz val="9"/>
            <color indexed="81"/>
            <rFont val="Tahoma"/>
            <family val="2"/>
          </rPr>
          <t>, in</t>
        </r>
        <r>
          <rPr>
            <vertAlign val="superscript"/>
            <sz val="9"/>
            <color indexed="81"/>
            <rFont val="Tahoma"/>
            <family val="2"/>
          </rPr>
          <t xml:space="preserve">2
</t>
        </r>
        <r>
          <rPr>
            <b/>
            <sz val="9"/>
            <color indexed="81"/>
            <rFont val="Tahoma"/>
            <family val="2"/>
          </rPr>
          <t>Metric</t>
        </r>
        <r>
          <rPr>
            <sz val="9"/>
            <color indexed="81"/>
            <rFont val="Tahoma"/>
            <family val="2"/>
          </rPr>
          <t>: m</t>
        </r>
        <r>
          <rPr>
            <vertAlign val="superscript"/>
            <sz val="9"/>
            <color indexed="81"/>
            <rFont val="Tahoma"/>
            <family val="2"/>
          </rPr>
          <t>3</t>
        </r>
        <r>
          <rPr>
            <sz val="9"/>
            <color indexed="81"/>
            <rFont val="Tahoma"/>
            <family val="2"/>
          </rPr>
          <t>/h, m</t>
        </r>
        <r>
          <rPr>
            <vertAlign val="superscript"/>
            <sz val="9"/>
            <color indexed="81"/>
            <rFont val="Tahoma"/>
            <family val="2"/>
          </rPr>
          <t>2</t>
        </r>
        <r>
          <rPr>
            <sz val="9"/>
            <color indexed="81"/>
            <rFont val="Tahoma"/>
            <family val="2"/>
          </rPr>
          <t>, cm</t>
        </r>
        <r>
          <rPr>
            <vertAlign val="superscript"/>
            <sz val="9"/>
            <color indexed="81"/>
            <rFont val="Tahoma"/>
            <family val="2"/>
          </rPr>
          <t>2</t>
        </r>
      </text>
    </comment>
    <comment ref="C6" authorId="0" shapeId="0">
      <text>
        <r>
          <rPr>
            <sz val="9"/>
            <color indexed="81"/>
            <rFont val="Tahoma"/>
            <family val="2"/>
          </rPr>
          <t xml:space="preserve">Date format:
</t>
        </r>
        <r>
          <rPr>
            <b/>
            <sz val="9"/>
            <color indexed="81"/>
            <rFont val="Tahoma"/>
            <family val="2"/>
          </rPr>
          <t>YYYY-MM-DD</t>
        </r>
        <r>
          <rPr>
            <sz val="9"/>
            <color indexed="81"/>
            <rFont val="Tahoma"/>
            <family val="2"/>
          </rPr>
          <t xml:space="preserve">
YYYY=Year
MM=Month
DD=Day</t>
        </r>
      </text>
    </comment>
    <comment ref="C25" authorId="0" shapeId="0">
      <text/>
    </comment>
    <comment ref="C30" authorId="0" shapeId="0">
      <text>
        <r>
          <rPr>
            <sz val="9"/>
            <color indexed="81"/>
            <rFont val="Tahoma"/>
            <family val="2"/>
          </rPr>
          <t xml:space="preserve">The area that is normally air-conditioned or heated (i.e. inside the enclosure envelope). 
Even though supply ducts may not discharge directly into these spaces, they are considered “conditioned” if their temperature follows indoor temperature closer than outdoor temperature. </t>
        </r>
      </text>
    </comment>
    <comment ref="C31" authorId="0" shapeId="0">
      <text>
        <r>
          <rPr>
            <sz val="9"/>
            <color indexed="81"/>
            <rFont val="Tahoma"/>
            <family val="2"/>
          </rPr>
          <t xml:space="preserve">This is the total air flow through the duct system. (This field is optional: Input this only if you want the report to display the </t>
        </r>
        <r>
          <rPr>
            <b/>
            <sz val="9"/>
            <color indexed="81"/>
            <rFont val="Tahoma"/>
            <family val="2"/>
          </rPr>
          <t>Duct Leakage as a percentage of the Air Handler Flow</t>
        </r>
        <r>
          <rPr>
            <sz val="9"/>
            <color indexed="81"/>
            <rFont val="Tahoma"/>
            <family val="2"/>
          </rPr>
          <t>)
If you do not know the Air Handler Flow, there is a method to calculate it, which is described in Appendix F of Manual-DucTester Operation &amp; Testing</t>
        </r>
      </text>
    </comment>
    <comment ref="C32" authorId="0" shapeId="0">
      <text>
        <r>
          <rPr>
            <sz val="9"/>
            <color indexed="81"/>
            <rFont val="Tahoma"/>
            <family val="2"/>
          </rPr>
          <t xml:space="preserve">Enter the "n" value, as read from the top bar of the DM-2 gauge. If you are unsure of which value to use, enter </t>
        </r>
        <r>
          <rPr>
            <b/>
            <sz val="9"/>
            <color indexed="81"/>
            <rFont val="Tahoma"/>
            <family val="2"/>
          </rPr>
          <t xml:space="preserve">0.60 </t>
        </r>
      </text>
    </comment>
    <comment ref="C34" authorId="0" shapeId="0">
      <text/>
    </comment>
    <comment ref="C38" authorId="0" shapeId="0">
      <text>
        <r>
          <rPr>
            <sz val="9"/>
            <color indexed="81"/>
            <rFont val="Tahoma"/>
            <family val="2"/>
          </rPr>
          <t xml:space="preserve">This number is the "PrA" reading on the DM-2, or the top row measurement on the DM32 gauge.
If the Baseline function on the gauge is used, the </t>
        </r>
        <r>
          <rPr>
            <b/>
            <sz val="9"/>
            <color indexed="81"/>
            <rFont val="Tahoma"/>
            <family val="2"/>
          </rPr>
          <t>Baseline must be cleared</t>
        </r>
        <r>
          <rPr>
            <sz val="9"/>
            <color indexed="81"/>
            <rFont val="Tahoma"/>
            <family val="2"/>
          </rPr>
          <t xml:space="preserve">. 
If you are using Retrotec's "Method 2" or "Method 3" (setting the pressure between the duct system and the house to 0 Pa), enter </t>
        </r>
        <r>
          <rPr>
            <b/>
            <sz val="9"/>
            <color indexed="81"/>
            <rFont val="Tahoma"/>
            <family val="2"/>
          </rPr>
          <t>25 or -25 Pa</t>
        </r>
        <r>
          <rPr>
            <sz val="9"/>
            <color indexed="81"/>
            <rFont val="Tahoma"/>
            <family val="2"/>
          </rPr>
          <t xml:space="preserve"> (Duct Pressure relative to outdoors), </t>
        </r>
        <r>
          <rPr>
            <b/>
            <sz val="9"/>
            <color indexed="81"/>
            <rFont val="Tahoma"/>
            <family val="2"/>
          </rPr>
          <t>NOT 0 Pa</t>
        </r>
        <r>
          <rPr>
            <sz val="9"/>
            <color indexed="81"/>
            <rFont val="Tahoma"/>
            <family val="2"/>
          </rPr>
          <t>. Method 2 and Method 3 are described in section 4.2.2 and section 4.2.3, respectively, in Manual-DucTester Operation &amp; Testing.</t>
        </r>
      </text>
    </comment>
    <comment ref="C42" authorId="0" shapeId="0">
      <text/>
    </comment>
    <comment ref="C46" authorId="0" shapeId="0">
      <text>
        <r>
          <rPr>
            <sz val="9"/>
            <color indexed="81"/>
            <rFont val="Tahoma"/>
            <family val="2"/>
          </rPr>
          <t>When performing a Total Duct Leakage test, you must enter a value here if you want to estimate a result for</t>
        </r>
        <r>
          <rPr>
            <b/>
            <sz val="9"/>
            <color indexed="81"/>
            <rFont val="Tahoma"/>
            <family val="2"/>
          </rPr>
          <t xml:space="preserve"> Duct Leakage to Outdoors</t>
        </r>
      </text>
    </comment>
  </commentList>
</comments>
</file>

<file path=xl/sharedStrings.xml><?xml version="1.0" encoding="utf-8"?>
<sst xmlns="http://schemas.openxmlformats.org/spreadsheetml/2006/main" count="133" uniqueCount="116">
  <si>
    <t>Company</t>
  </si>
  <si>
    <t>Phone</t>
  </si>
  <si>
    <t>Contact</t>
  </si>
  <si>
    <t>N</t>
  </si>
  <si>
    <t>K</t>
  </si>
  <si>
    <t>K1</t>
  </si>
  <si>
    <t>K2</t>
  </si>
  <si>
    <t>K3</t>
  </si>
  <si>
    <t>Mid</t>
  </si>
  <si>
    <t>Low</t>
  </si>
  <si>
    <t>Range</t>
  </si>
  <si>
    <t>Ring</t>
  </si>
  <si>
    <t>DucTester flow equation constants</t>
  </si>
  <si>
    <t>(Pa)</t>
  </si>
  <si>
    <t>PrA = Induced pressure</t>
  </si>
  <si>
    <t xml:space="preserve">PrB = Fan pressure (difference between pressure sensor inside the fan, and pressure sensor </t>
  </si>
  <si>
    <t xml:space="preserve">where:  </t>
  </si>
  <si>
    <t>* DucTester Fan pressure "PrB" must be greater than "Min Fan Pressure" and greater than (PrA*K2)</t>
  </si>
  <si>
    <t>DucTester flow equation</t>
  </si>
  <si>
    <t xml:space="preserve">          outside the fan on the suction side of the Fan Shell)</t>
  </si>
  <si>
    <t>Duct Leakage</t>
  </si>
  <si>
    <t>Test Report</t>
  </si>
  <si>
    <t>Fan Pressure</t>
  </si>
  <si>
    <t>Range Configuration</t>
  </si>
  <si>
    <t>Energy Star</t>
  </si>
  <si>
    <t>Duct leakage program requirements</t>
  </si>
  <si>
    <t>International Energy Conservation Code</t>
  </si>
  <si>
    <t>Abu Dhabi Building Code</t>
  </si>
  <si>
    <t>New York Energy Code</t>
  </si>
  <si>
    <t>North Carolina Energy Code</t>
  </si>
  <si>
    <t>North West Energy Star (ID, MO, OR, WA states)</t>
  </si>
  <si>
    <t>Washington Energy Code</t>
  </si>
  <si>
    <t>Title 24</t>
  </si>
  <si>
    <t>Building Description</t>
  </si>
  <si>
    <t xml:space="preserve">Inputs: </t>
  </si>
  <si>
    <r>
      <t>Flow (cfm)= (PrB - PrA*K1)</t>
    </r>
    <r>
      <rPr>
        <vertAlign val="superscript"/>
        <sz val="11"/>
        <rFont val="Arial"/>
        <family val="2"/>
      </rPr>
      <t>N</t>
    </r>
    <r>
      <rPr>
        <sz val="11"/>
        <rFont val="Arial"/>
        <family val="2"/>
      </rPr>
      <t xml:space="preserve">  * (K + PrB*K3)</t>
    </r>
  </si>
  <si>
    <r>
      <t>Total Duct Leakage: 12 CFM25/100 ft</t>
    </r>
    <r>
      <rPr>
        <vertAlign val="superscript"/>
        <sz val="10"/>
        <rFont val="Arial"/>
        <family val="2"/>
      </rPr>
      <t>2</t>
    </r>
    <r>
      <rPr>
        <sz val="10"/>
        <rFont val="Arial"/>
        <family val="2"/>
      </rPr>
      <t xml:space="preserve"> of conditioned floor area
Duct Leakage to Outdoors: 8 CFM25/100 ft</t>
    </r>
    <r>
      <rPr>
        <vertAlign val="superscript"/>
        <sz val="10"/>
        <rFont val="Arial"/>
        <family val="2"/>
      </rPr>
      <t>2</t>
    </r>
    <r>
      <rPr>
        <sz val="10"/>
        <rFont val="Arial"/>
        <family val="2"/>
      </rPr>
      <t xml:space="preserve"> of conditioned floor area</t>
    </r>
  </si>
  <si>
    <r>
      <t>Total Duct Leakage: 6.0 CFM25/100 ft</t>
    </r>
    <r>
      <rPr>
        <vertAlign val="superscript"/>
        <sz val="10"/>
        <rFont val="Arial"/>
        <family val="2"/>
      </rPr>
      <t>2</t>
    </r>
    <r>
      <rPr>
        <sz val="10"/>
        <rFont val="Arial"/>
        <family val="2"/>
      </rPr>
      <t xml:space="preserve"> of conditioned floor area
Duct Leakage to Outdoors: 4.0 CFM25/100 ft</t>
    </r>
    <r>
      <rPr>
        <vertAlign val="superscript"/>
        <sz val="10"/>
        <rFont val="Arial"/>
        <family val="2"/>
      </rPr>
      <t>2</t>
    </r>
    <r>
      <rPr>
        <sz val="10"/>
        <rFont val="Arial"/>
        <family val="2"/>
      </rPr>
      <t xml:space="preserve"> of conditioned floor area.
</t>
    </r>
  </si>
  <si>
    <r>
      <t>Total Duct Leakage: 12 CFM25/100 ft</t>
    </r>
    <r>
      <rPr>
        <vertAlign val="superscript"/>
        <sz val="10"/>
        <rFont val="Arial"/>
        <family val="2"/>
      </rPr>
      <t>2</t>
    </r>
    <r>
      <rPr>
        <sz val="10"/>
        <rFont val="Arial"/>
        <family val="2"/>
      </rPr>
      <t xml:space="preserve"> conditioned floor area
Duct Leakage to Outdoors:  8 CFM25/100 ft</t>
    </r>
    <r>
      <rPr>
        <vertAlign val="superscript"/>
        <sz val="10"/>
        <rFont val="Arial"/>
        <family val="2"/>
      </rPr>
      <t>2</t>
    </r>
    <r>
      <rPr>
        <sz val="10"/>
        <rFont val="Arial"/>
        <family val="2"/>
      </rPr>
      <t xml:space="preserve"> conditioned floor area
6 CFM25/100 ft</t>
    </r>
    <r>
      <rPr>
        <vertAlign val="superscript"/>
        <sz val="10"/>
        <rFont val="Arial"/>
        <family val="2"/>
      </rPr>
      <t>2</t>
    </r>
    <r>
      <rPr>
        <sz val="10"/>
        <rFont val="Arial"/>
        <family val="2"/>
      </rPr>
      <t xml:space="preserve"> after rough in (after ducts are installed but no sheet rock and with air handler) 
 Required:
• Where ducts are located outside the conditioned space 
• In existing houses where more than 50% of the ducts are replaced
Not required if all connections meet Code requirements and visually inspected by licensed contractor or DET verifier.</t>
    </r>
  </si>
  <si>
    <r>
      <t>Total Duct Leakage: 6.0 CFM25/100 ft</t>
    </r>
    <r>
      <rPr>
        <vertAlign val="superscript"/>
        <sz val="10"/>
        <rFont val="Arial"/>
        <family val="2"/>
      </rPr>
      <t>2</t>
    </r>
    <r>
      <rPr>
        <sz val="10"/>
        <rFont val="Arial"/>
        <family val="2"/>
      </rPr>
      <t xml:space="preserve"> of conditioned floor area.  
Depressurize to -25 Pa measured at supply closest to air handler.
Test equipment must be certified by manufacturer that it complies with ASTM E1554-07. 
No mention of duct leakage to outdoors testing being acceptable.
</t>
    </r>
  </si>
  <si>
    <r>
      <t>Total Duct Leakage: 0.06 CFM50/ft</t>
    </r>
    <r>
      <rPr>
        <vertAlign val="superscript"/>
        <sz val="10"/>
        <rFont val="Arial"/>
        <family val="2"/>
      </rPr>
      <t>2</t>
    </r>
    <r>
      <rPr>
        <sz val="10"/>
        <rFont val="Arial"/>
        <family val="2"/>
      </rPr>
      <t xml:space="preserve"> of conditioned floor area or 75CFM, whichever is greater.  
House leakage must be less than or equal to 4 ACH50. 
</t>
    </r>
  </si>
  <si>
    <r>
      <t>Maximum duct leakage is 15% of airhandler flow calculated by using 400 CFM25 per Ton or 21.7 CFM per 1000 BTU. Test pressure +25Pa.
Maximum duct leakage is 60CFM/Ton or 3.255 CFM/1000 BTU
105 CFM25/1000 ft</t>
    </r>
    <r>
      <rPr>
        <vertAlign val="superscript"/>
        <sz val="10"/>
        <rFont val="Arial"/>
        <family val="2"/>
      </rPr>
      <t>2</t>
    </r>
    <r>
      <rPr>
        <sz val="10"/>
        <rFont val="Arial"/>
        <family val="2"/>
      </rPr>
      <t xml:space="preserve"> of floor area for climate zones 8 through 15. 
75 CFM25/1000 ft</t>
    </r>
    <r>
      <rPr>
        <vertAlign val="superscript"/>
        <sz val="10"/>
        <rFont val="Arial"/>
        <family val="2"/>
      </rPr>
      <t>2</t>
    </r>
    <r>
      <rPr>
        <sz val="10"/>
        <rFont val="Arial"/>
        <family val="2"/>
      </rPr>
      <t xml:space="preserve"> of floor area for climate zones 7 and 16.
</t>
    </r>
  </si>
  <si>
    <r>
      <t>Total Duct Leakage:
with air handler NOT installed= floor area (ft</t>
    </r>
    <r>
      <rPr>
        <vertAlign val="superscript"/>
        <sz val="10"/>
        <rFont val="Arial"/>
        <family val="2"/>
      </rPr>
      <t>2</t>
    </r>
    <r>
      <rPr>
        <sz val="10"/>
        <rFont val="Arial"/>
        <family val="2"/>
      </rPr>
      <t>) X 0.04 CFM25 
with air handler installed= floor area (ft</t>
    </r>
    <r>
      <rPr>
        <vertAlign val="superscript"/>
        <sz val="10"/>
        <rFont val="Arial"/>
        <family val="2"/>
      </rPr>
      <t>2</t>
    </r>
    <r>
      <rPr>
        <sz val="10"/>
        <rFont val="Arial"/>
        <family val="2"/>
      </rPr>
      <t>) X 0.06 CFM25
Duct Leakage to Outdoors:
= floor area (ft</t>
    </r>
    <r>
      <rPr>
        <vertAlign val="superscript"/>
        <sz val="10"/>
        <rFont val="Arial"/>
        <family val="2"/>
      </rPr>
      <t>2</t>
    </r>
    <r>
      <rPr>
        <sz val="10"/>
        <rFont val="Arial"/>
        <family val="2"/>
      </rPr>
      <t xml:space="preserve">) X 0.08 CFM25 is recommended where possible. 
</t>
    </r>
  </si>
  <si>
    <r>
      <t>Total Duct Leakage: 6.0 CFM25/100 ft</t>
    </r>
    <r>
      <rPr>
        <vertAlign val="superscript"/>
        <sz val="10"/>
        <rFont val="Arial"/>
        <family val="2"/>
      </rPr>
      <t>2</t>
    </r>
    <r>
      <rPr>
        <sz val="10"/>
        <rFont val="Arial"/>
        <family val="2"/>
      </rPr>
      <t xml:space="preserve"> of conditioned floor area or 6% of airhandler flow.  
Measured at supply closest to air handler.
Test equipment must be certified by manufacturer (complies with ASTM E1554-07 and ASHRAE Standard 152). 
Duct leakage to outdoors acceptable under Method A of ASMT E1554-07.</t>
    </r>
  </si>
  <si>
    <r>
      <t xml:space="preserve">Leakage Exponent, </t>
    </r>
    <r>
      <rPr>
        <i/>
        <sz val="10"/>
        <color indexed="23"/>
        <rFont val="Arial"/>
        <family val="2"/>
      </rPr>
      <t>n</t>
    </r>
  </si>
  <si>
    <t>Leakage Area</t>
  </si>
  <si>
    <t>Air Handler Flow</t>
  </si>
  <si>
    <t>Supply</t>
  </si>
  <si>
    <t>Return</t>
  </si>
  <si>
    <t>Pressure Multiplier</t>
  </si>
  <si>
    <t>Leakage Split</t>
  </si>
  <si>
    <t>Leakage Penalty</t>
  </si>
  <si>
    <t>% of Duct Leakage to Outdoors</t>
  </si>
  <si>
    <t>Loss Factor</t>
  </si>
  <si>
    <t>Annual Cooling Cost</t>
  </si>
  <si>
    <t>Annual Heating Cost</t>
  </si>
  <si>
    <t>SEER rating</t>
  </si>
  <si>
    <r>
      <t xml:space="preserve">Leakage constant, </t>
    </r>
    <r>
      <rPr>
        <i/>
        <sz val="11"/>
        <color indexed="23"/>
        <rFont val="Arial"/>
        <family val="2"/>
      </rPr>
      <t>C</t>
    </r>
  </si>
  <si>
    <t>Conditioned Floor Area</t>
  </si>
  <si>
    <t xml:space="preserve"> </t>
  </si>
  <si>
    <t>Units</t>
  </si>
  <si>
    <t>Duct Leakage to Outdoors (estimated)</t>
  </si>
  <si>
    <t>Test data</t>
  </si>
  <si>
    <t>Baseline Pressure</t>
  </si>
  <si>
    <t>Duct Leakage as % of Air Handler Flow</t>
  </si>
  <si>
    <t>Gauge Serial Number</t>
  </si>
  <si>
    <t>Tester</t>
  </si>
  <si>
    <t>Technician</t>
  </si>
  <si>
    <t>Imperial</t>
  </si>
  <si>
    <t>Gauge S/N</t>
  </si>
  <si>
    <t>Test Type</t>
  </si>
  <si>
    <t>Building Address (Street)</t>
  </si>
  <si>
    <t>Address (Street)</t>
  </si>
  <si>
    <t>Fan S/N</t>
  </si>
  <si>
    <t>Fan Serial Number</t>
  </si>
  <si>
    <t>Min PrB</t>
  </si>
  <si>
    <t>Print/PDF preview:</t>
  </si>
  <si>
    <t>Average Duct Operating Pressure</t>
  </si>
  <si>
    <t>Address</t>
  </si>
  <si>
    <t>Client</t>
  </si>
  <si>
    <t>Building Address</t>
  </si>
  <si>
    <t>Building and Duct Details</t>
  </si>
  <si>
    <t>Leakage Data</t>
  </si>
  <si>
    <t>Leakage Results</t>
  </si>
  <si>
    <t>Test Date</t>
  </si>
  <si>
    <t>Equipment</t>
  </si>
  <si>
    <t>Building Address (City, State, ZIP code)</t>
  </si>
  <si>
    <t>Address (City, State, ZIP code)</t>
  </si>
  <si>
    <t>Flow (calculated)</t>
  </si>
  <si>
    <t>Range Configuration, or Enter "Flow" directly</t>
  </si>
  <si>
    <t>Flow (from gauge)</t>
  </si>
  <si>
    <t>Percentage of Duct Leakage to Outdoors</t>
  </si>
  <si>
    <t>Target test pressure</t>
  </si>
  <si>
    <t>Leakage Exponent</t>
  </si>
  <si>
    <t>John Smith's House</t>
  </si>
  <si>
    <t>12345 Broadway Street</t>
  </si>
  <si>
    <t>Everson, WA 98427</t>
  </si>
  <si>
    <t>Deborah Smith</t>
  </si>
  <si>
    <t>(360) 123-4567</t>
  </si>
  <si>
    <t>Duct Testing Company</t>
  </si>
  <si>
    <t>Everson, WA  98427</t>
  </si>
  <si>
    <t>(360) 738-9835</t>
  </si>
  <si>
    <t>FN1002509</t>
  </si>
  <si>
    <t>Colin Genge</t>
  </si>
  <si>
    <t>12345 Main Street</t>
  </si>
  <si>
    <t>Cost of Duct Leakage</t>
  </si>
  <si>
    <t>(Enter Flow directly)</t>
  </si>
  <si>
    <t>Retrotec fan series</t>
  </si>
  <si>
    <t>Model 300-</t>
  </si>
  <si>
    <t>Open-</t>
  </si>
  <si>
    <t>Model 200.</t>
  </si>
  <si>
    <t>Open.</t>
  </si>
  <si>
    <t>negative Channel A coeffcients not added for Model 300 yet</t>
  </si>
  <si>
    <t>Fan series</t>
  </si>
  <si>
    <t>Duct Pressure</t>
  </si>
  <si>
    <t>25 Pa</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</si>
</sst>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_);_(* \(#,##0.00\);_(* &quot;-&quot;??_);_(@_)"/>
    <numFmt numFmtId="164" formatCode="0.0%"/>
    <numFmt numFmtId="165" formatCode="0.0000"/>
    <numFmt numFmtId="166" formatCode="0.000"/>
    <numFmt numFmtId="167" formatCode=".00"/>
    <numFmt numFmtId="168" formatCode="0\ &quot;Pa&quot;"/>
    <numFmt numFmtId="169" formatCode="0.0\ &quot;in2&quot;"/>
    <numFmt numFmtId="170" formatCode="0.0\ &quot;Pa&quot;"/>
    <numFmt numFmtId="171" formatCode="0.0\ \P\a"/>
    <numFmt numFmtId="172" formatCode="0\ &quot;m3/h&quot;"/>
    <numFmt numFmtId="173" formatCode="0.0"/>
    <numFmt numFmtId="174" formatCode="&quot;$&quot;#,##0"/>
    <numFmt numFmtId="175" formatCode="#,##0.0"/>
    <numFmt numFmtId="176" formatCode="0.00\ &quot;(assumed)&quot;"/>
    <numFmt numFmtId="177" formatCode="0%\ &quot;(estimated)&quot;"/>
    <numFmt numFmtId="178" formatCode="yyyy\-mm\-dd"/>
    <numFmt numFmtId="179" formatCode="0.00\ &quot;CFM&quot;"/>
  </numFmts>
  <fonts count="64" x14ac:knownFonts="1">
    <font>
      <sz val="10"/>
      <name val="Arial"/>
    </font>
    <font>
      <b/>
      <sz val="10"/>
      <name val="Arial"/>
      <family val="2"/>
    </font>
    <font>
      <sz val="10"/>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11"/>
      <name val="Arial"/>
      <family val="2"/>
    </font>
    <font>
      <b/>
      <sz val="14"/>
      <color indexed="16"/>
      <name val="Arial"/>
      <family val="2"/>
    </font>
    <font>
      <b/>
      <sz val="10"/>
      <color indexed="16"/>
      <name val="Arial"/>
      <family val="2"/>
    </font>
    <font>
      <u/>
      <sz val="10"/>
      <name val="Arial"/>
      <family val="2"/>
    </font>
    <font>
      <sz val="10"/>
      <color indexed="23"/>
      <name val="Arial"/>
      <family val="2"/>
    </font>
    <font>
      <b/>
      <sz val="15"/>
      <color indexed="16"/>
      <name val="Arial"/>
      <family val="2"/>
    </font>
    <font>
      <b/>
      <sz val="7"/>
      <color indexed="16"/>
      <name val="Arial"/>
      <family val="2"/>
    </font>
    <font>
      <vertAlign val="superscript"/>
      <sz val="11"/>
      <name val="Arial"/>
      <family val="2"/>
    </font>
    <font>
      <i/>
      <sz val="10"/>
      <color indexed="23"/>
      <name val="Arial"/>
      <family val="2"/>
    </font>
    <font>
      <sz val="9"/>
      <name val="Arial"/>
      <family val="2"/>
    </font>
    <font>
      <vertAlign val="superscript"/>
      <sz val="10"/>
      <name val="Arial"/>
      <family val="2"/>
    </font>
    <font>
      <sz val="11"/>
      <color indexed="23"/>
      <name val="Arial"/>
      <family val="2"/>
    </font>
    <font>
      <b/>
      <sz val="11"/>
      <name val="Arial"/>
      <family val="2"/>
    </font>
    <font>
      <i/>
      <sz val="11"/>
      <color indexed="23"/>
      <name val="Arial"/>
      <family val="2"/>
    </font>
    <font>
      <sz val="9"/>
      <color indexed="81"/>
      <name val="Tahoma"/>
      <family val="2"/>
    </font>
    <font>
      <b/>
      <sz val="9"/>
      <color indexed="81"/>
      <name val="Tahoma"/>
      <family val="2"/>
    </font>
    <font>
      <sz val="10.5"/>
      <name val="Arial"/>
      <family val="2"/>
    </font>
    <font>
      <u/>
      <sz val="10.5"/>
      <name val="Arial"/>
      <family val="2"/>
    </font>
    <font>
      <sz val="10.5"/>
      <color indexed="23"/>
      <name val="Arial"/>
      <family val="2"/>
    </font>
    <font>
      <b/>
      <sz val="10.5"/>
      <name val="Arial"/>
      <family val="2"/>
    </font>
    <font>
      <b/>
      <sz val="10.5"/>
      <color indexed="16"/>
      <name val="Arial"/>
      <family val="2"/>
    </font>
    <font>
      <b/>
      <u/>
      <sz val="13"/>
      <name val="Arial"/>
      <family val="2"/>
    </font>
    <font>
      <vertAlign val="superscript"/>
      <sz val="9"/>
      <color indexed="81"/>
      <name val="Tahoma"/>
      <family val="2"/>
    </font>
    <font>
      <sz val="11"/>
      <color rgb="FF9C0006"/>
      <name val="Calibri"/>
      <family val="2"/>
      <scheme val="minor"/>
    </font>
    <font>
      <sz val="11"/>
      <color rgb="FF006100"/>
      <name val="Calibri"/>
      <family val="2"/>
      <scheme val="minor"/>
    </font>
    <font>
      <b/>
      <sz val="16"/>
      <color rgb="FFFF0000"/>
      <name val="Arial"/>
      <family val="2"/>
    </font>
    <font>
      <b/>
      <sz val="15"/>
      <color rgb="FF800000"/>
      <name val="Arial"/>
      <family val="2"/>
    </font>
    <font>
      <sz val="11"/>
      <name val="Calibri"/>
      <family val="2"/>
      <scheme val="minor"/>
    </font>
    <font>
      <b/>
      <sz val="10"/>
      <color theme="0"/>
      <name val="Arial"/>
      <family val="2"/>
    </font>
    <font>
      <b/>
      <sz val="12"/>
      <color theme="0"/>
      <name val="Arial"/>
      <family val="2"/>
    </font>
    <font>
      <sz val="10"/>
      <color theme="0"/>
      <name val="Arial"/>
      <family val="2"/>
    </font>
    <font>
      <b/>
      <sz val="10"/>
      <color rgb="FFFF0000"/>
      <name val="Arial"/>
      <family val="2"/>
    </font>
    <font>
      <sz val="8"/>
      <color rgb="FF006100"/>
      <name val="Calibri"/>
      <family val="2"/>
      <scheme val="minor"/>
    </font>
    <font>
      <b/>
      <sz val="24"/>
      <color rgb="FFFF0000"/>
      <name val="Lucida Fax"/>
      <family val="1"/>
    </font>
    <font>
      <b/>
      <sz val="18"/>
      <color rgb="FFFF0000"/>
      <name val="Arial"/>
      <family val="2"/>
    </font>
    <font>
      <sz val="8"/>
      <color rgb="FF000000"/>
      <name val="Tahoma"/>
      <family val="2"/>
    </font>
    <font>
      <sz val="10"/>
      <color rgb="FF000000"/>
      <name val="Arial"/>
      <family val="2"/>
    </font>
    <font>
      <sz val="11"/>
      <color rgb="FF000000"/>
      <name val="Arial"/>
      <family val="2"/>
    </font>
    <font>
      <b/>
      <sz val="9"/>
      <name val="Arial"/>
      <family val="2"/>
    </font>
    <font>
      <b/>
      <sz val="10"/>
      <color indexed="23"/>
      <name val="Arial"/>
      <family val="2"/>
    </font>
    <font>
      <b/>
      <sz val="9"/>
      <color indexed="23"/>
      <name val="Arial"/>
      <family val="2"/>
    </font>
    <font>
      <b/>
      <sz val="9"/>
      <color rgb="FFFF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C7CE"/>
      </patternFill>
    </fill>
    <fill>
      <patternFill patternType="solid">
        <fgColor rgb="FFC6EFCE"/>
      </patternFill>
    </fill>
    <fill>
      <patternFill patternType="solid">
        <fgColor theme="0" tint="-0.249977111117893"/>
        <bgColor indexed="64"/>
      </patternFill>
    </fill>
    <fill>
      <patternFill patternType="solid">
        <fgColor theme="0" tint="-0.14999847407452621"/>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s>
  <cellStyleXfs count="54">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2" fillId="0" borderId="0" applyFont="0" applyFill="0" applyBorder="0" applyAlignment="0" applyProtection="0"/>
    <xf numFmtId="0" fontId="9" fillId="0" borderId="0" applyNumberFormat="0" applyFill="0" applyBorder="0" applyAlignment="0" applyProtection="0"/>
    <xf numFmtId="0" fontId="46" fillId="25" borderId="0" applyNumberFormat="0" applyBorder="0" applyAlignment="0" applyProtection="0"/>
    <xf numFmtId="0" fontId="46" fillId="25" borderId="0" applyNumberFormat="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17" fillId="20" borderId="8" applyNumberFormat="0" applyAlignment="0" applyProtection="0"/>
    <xf numFmtId="9" fontId="2" fillId="0" borderId="0" applyFont="0" applyFill="0" applyBorder="0" applyAlignment="0" applyProtection="0"/>
    <xf numFmtId="9" fontId="2"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193">
    <xf numFmtId="0" fontId="0" fillId="0" borderId="0" xfId="0"/>
    <xf numFmtId="0" fontId="2" fillId="0" borderId="0" xfId="43" applyNumberFormat="1" applyFont="1" applyFill="1" applyBorder="1" applyAlignment="1" applyProtection="1"/>
    <xf numFmtId="0" fontId="1" fillId="0" borderId="0" xfId="43" applyNumberFormat="1" applyFont="1" applyFill="1" applyBorder="1" applyAlignment="1" applyProtection="1"/>
    <xf numFmtId="0" fontId="25" fillId="0" borderId="0" xfId="43" applyNumberFormat="1" applyFont="1" applyFill="1" applyBorder="1" applyAlignment="1" applyProtection="1">
      <alignment horizontal="right"/>
    </xf>
    <xf numFmtId="0" fontId="26" fillId="0" borderId="0" xfId="43" applyNumberFormat="1" applyFont="1" applyFill="1" applyBorder="1" applyAlignment="1" applyProtection="1">
      <alignment horizontal="right"/>
    </xf>
    <xf numFmtId="0" fontId="2" fillId="0" borderId="0" xfId="43" applyNumberFormat="1" applyFont="1" applyFill="1" applyBorder="1" applyAlignment="1" applyProtection="1">
      <alignment horizontal="left"/>
    </xf>
    <xf numFmtId="0" fontId="47" fillId="0" borderId="0" xfId="42" applyFont="1" applyProtection="1"/>
    <xf numFmtId="0" fontId="1" fillId="0" borderId="0" xfId="43" applyFont="1" applyProtection="1"/>
    <xf numFmtId="0" fontId="21" fillId="0" borderId="0" xfId="43" applyFont="1" applyFill="1" applyBorder="1" applyAlignment="1" applyProtection="1">
      <alignment horizontal="center"/>
    </xf>
    <xf numFmtId="0" fontId="27" fillId="0" borderId="0" xfId="43" applyNumberFormat="1" applyFont="1" applyFill="1" applyBorder="1" applyAlignment="1" applyProtection="1">
      <alignment horizontal="center"/>
    </xf>
    <xf numFmtId="10" fontId="21" fillId="0" borderId="0" xfId="50" applyNumberFormat="1" applyFont="1" applyFill="1" applyBorder="1" applyAlignment="1" applyProtection="1">
      <alignment horizontal="center"/>
    </xf>
    <xf numFmtId="2" fontId="21" fillId="0" borderId="0" xfId="43" applyNumberFormat="1" applyFont="1" applyFill="1" applyBorder="1" applyAlignment="1" applyProtection="1">
      <alignment horizontal="center"/>
    </xf>
    <xf numFmtId="10" fontId="1" fillId="0" borderId="10" xfId="50" applyNumberFormat="1" applyFont="1" applyFill="1" applyBorder="1" applyAlignment="1" applyProtection="1">
      <alignment horizontal="center"/>
    </xf>
    <xf numFmtId="167" fontId="21" fillId="0" borderId="0" xfId="43" applyNumberFormat="1" applyFont="1" applyFill="1" applyBorder="1" applyAlignment="1" applyProtection="1">
      <alignment horizontal="center"/>
    </xf>
    <xf numFmtId="167" fontId="22" fillId="0" borderId="0" xfId="43" applyNumberFormat="1" applyFont="1" applyFill="1" applyBorder="1" applyAlignment="1" applyProtection="1">
      <alignment horizontal="center"/>
    </xf>
    <xf numFmtId="167" fontId="2" fillId="0" borderId="0" xfId="43" applyNumberFormat="1" applyFont="1" applyFill="1" applyBorder="1" applyAlignment="1" applyProtection="1">
      <alignment horizontal="left"/>
    </xf>
    <xf numFmtId="167" fontId="2" fillId="0" borderId="0" xfId="43" applyNumberFormat="1" applyFont="1" applyFill="1" applyBorder="1" applyAlignment="1" applyProtection="1">
      <alignment horizontal="center"/>
    </xf>
    <xf numFmtId="167" fontId="2" fillId="0" borderId="0" xfId="43" applyNumberFormat="1" applyFont="1" applyFill="1" applyBorder="1" applyAlignment="1" applyProtection="1">
      <alignment horizontal="right"/>
    </xf>
    <xf numFmtId="0" fontId="0" fillId="0" borderId="0" xfId="0" applyProtection="1"/>
    <xf numFmtId="0" fontId="2" fillId="0" borderId="0" xfId="43" applyProtection="1"/>
    <xf numFmtId="0" fontId="0" fillId="0" borderId="0" xfId="0" applyBorder="1" applyProtection="1"/>
    <xf numFmtId="0" fontId="2" fillId="0" borderId="0" xfId="0" applyFont="1" applyProtection="1"/>
    <xf numFmtId="165" fontId="1" fillId="0" borderId="11" xfId="25" applyNumberFormat="1" applyFont="1" applyFill="1" applyBorder="1" applyAlignment="1" applyProtection="1">
      <alignment horizontal="center"/>
    </xf>
    <xf numFmtId="165" fontId="1" fillId="0" borderId="12" xfId="25" applyNumberFormat="1" applyFont="1" applyFill="1" applyBorder="1" applyAlignment="1" applyProtection="1">
      <alignment horizontal="center"/>
    </xf>
    <xf numFmtId="0" fontId="1" fillId="0" borderId="13" xfId="25" applyFont="1" applyFill="1" applyBorder="1" applyAlignment="1" applyProtection="1">
      <alignment horizontal="center"/>
    </xf>
    <xf numFmtId="0" fontId="1" fillId="0" borderId="14" xfId="25" applyFont="1" applyFill="1" applyBorder="1" applyAlignment="1" applyProtection="1">
      <alignment horizontal="center"/>
    </xf>
    <xf numFmtId="0" fontId="1" fillId="0" borderId="15" xfId="25" applyFont="1" applyFill="1" applyBorder="1" applyAlignment="1" applyProtection="1">
      <alignment horizontal="center"/>
    </xf>
    <xf numFmtId="0" fontId="2" fillId="0" borderId="15" xfId="25" applyFont="1" applyFill="1" applyBorder="1" applyAlignment="1" applyProtection="1">
      <alignment horizontal="center"/>
    </xf>
    <xf numFmtId="0" fontId="2" fillId="0" borderId="0" xfId="25" applyFont="1" applyFill="1" applyBorder="1" applyAlignment="1" applyProtection="1">
      <alignment horizontal="center"/>
    </xf>
    <xf numFmtId="0" fontId="2" fillId="0" borderId="16" xfId="25" applyFont="1" applyFill="1" applyBorder="1" applyAlignment="1" applyProtection="1">
      <alignment horizontal="center"/>
    </xf>
    <xf numFmtId="165" fontId="2" fillId="0" borderId="17" xfId="25" applyNumberFormat="1" applyFont="1" applyFill="1" applyBorder="1" applyAlignment="1" applyProtection="1">
      <alignment horizontal="center"/>
    </xf>
    <xf numFmtId="2" fontId="2" fillId="0" borderId="0" xfId="25" applyNumberFormat="1" applyFont="1" applyFill="1" applyBorder="1" applyAlignment="1" applyProtection="1">
      <alignment horizontal="center"/>
    </xf>
    <xf numFmtId="165" fontId="2" fillId="0" borderId="0" xfId="25" applyNumberFormat="1" applyFont="1" applyFill="1" applyBorder="1" applyAlignment="1" applyProtection="1">
      <alignment horizontal="center"/>
    </xf>
    <xf numFmtId="165" fontId="2" fillId="0" borderId="18" xfId="25" applyNumberFormat="1" applyFont="1" applyFill="1" applyBorder="1" applyAlignment="1" applyProtection="1">
      <alignment horizontal="center"/>
    </xf>
    <xf numFmtId="0" fontId="2" fillId="0" borderId="18" xfId="25" applyFont="1" applyFill="1" applyBorder="1" applyAlignment="1" applyProtection="1">
      <alignment horizontal="center"/>
    </xf>
    <xf numFmtId="166" fontId="2" fillId="0" borderId="0" xfId="25" applyNumberFormat="1" applyFont="1" applyFill="1" applyBorder="1" applyAlignment="1" applyProtection="1">
      <alignment horizontal="center"/>
    </xf>
    <xf numFmtId="0" fontId="2" fillId="0" borderId="12" xfId="25" applyFont="1" applyFill="1" applyBorder="1" applyAlignment="1" applyProtection="1">
      <alignment horizontal="center"/>
    </xf>
    <xf numFmtId="165" fontId="2" fillId="0" borderId="13" xfId="25" applyNumberFormat="1" applyFont="1" applyFill="1" applyBorder="1" applyAlignment="1" applyProtection="1">
      <alignment horizontal="center"/>
    </xf>
    <xf numFmtId="166" fontId="2" fillId="0" borderId="14" xfId="25" applyNumberFormat="1" applyFont="1" applyFill="1" applyBorder="1" applyAlignment="1" applyProtection="1">
      <alignment horizontal="center"/>
    </xf>
    <xf numFmtId="165" fontId="2" fillId="0" borderId="14" xfId="25" applyNumberFormat="1" applyFont="1" applyFill="1" applyBorder="1" applyAlignment="1" applyProtection="1">
      <alignment horizontal="center"/>
    </xf>
    <xf numFmtId="0" fontId="2" fillId="0" borderId="14" xfId="25" applyFont="1" applyFill="1" applyBorder="1" applyAlignment="1" applyProtection="1">
      <alignment horizontal="center"/>
    </xf>
    <xf numFmtId="165" fontId="2" fillId="0" borderId="15" xfId="25" applyNumberFormat="1" applyFont="1" applyFill="1" applyBorder="1" applyAlignment="1" applyProtection="1">
      <alignment horizontal="center"/>
    </xf>
    <xf numFmtId="0" fontId="2" fillId="0" borderId="0" xfId="0" applyFont="1" applyBorder="1" applyProtection="1"/>
    <xf numFmtId="0" fontId="0" fillId="0" borderId="0" xfId="0" applyBorder="1" applyAlignment="1" applyProtection="1">
      <alignment horizontal="left"/>
    </xf>
    <xf numFmtId="0" fontId="1" fillId="0" borderId="0" xfId="0" applyFont="1" applyBorder="1" applyProtection="1"/>
    <xf numFmtId="0" fontId="1" fillId="0" borderId="0" xfId="0" applyFont="1" applyBorder="1" applyAlignment="1" applyProtection="1">
      <alignment horizontal="left"/>
    </xf>
    <xf numFmtId="2" fontId="1" fillId="0" borderId="0" xfId="0" applyNumberFormat="1" applyFont="1" applyBorder="1" applyAlignment="1" applyProtection="1">
      <alignment horizontal="left"/>
    </xf>
    <xf numFmtId="164" fontId="1" fillId="0" borderId="0" xfId="0" applyNumberFormat="1" applyFont="1" applyBorder="1" applyAlignment="1" applyProtection="1">
      <alignment horizontal="left"/>
    </xf>
    <xf numFmtId="0" fontId="24" fillId="0" borderId="0" xfId="43" applyNumberFormat="1" applyFont="1" applyFill="1" applyBorder="1" applyAlignment="1" applyProtection="1">
      <alignment horizontal="left"/>
    </xf>
    <xf numFmtId="0" fontId="28" fillId="0" borderId="0" xfId="43" applyNumberFormat="1" applyFont="1" applyFill="1" applyBorder="1" applyAlignment="1" applyProtection="1">
      <alignment horizontal="center"/>
    </xf>
    <xf numFmtId="0" fontId="28" fillId="0" borderId="0" xfId="43" applyNumberFormat="1" applyFont="1" applyFill="1" applyBorder="1" applyAlignment="1" applyProtection="1">
      <alignment horizontal="right"/>
    </xf>
    <xf numFmtId="0" fontId="23" fillId="0" borderId="0" xfId="43" applyNumberFormat="1" applyFont="1" applyFill="1" applyBorder="1" applyAlignment="1" applyProtection="1">
      <alignment horizontal="center"/>
    </xf>
    <xf numFmtId="0" fontId="48" fillId="0" borderId="0" xfId="0" applyFont="1" applyBorder="1" applyAlignment="1" applyProtection="1"/>
    <xf numFmtId="2" fontId="1" fillId="0" borderId="0" xfId="0" applyNumberFormat="1" applyFont="1" applyBorder="1" applyAlignment="1" applyProtection="1">
      <alignment horizontal="center"/>
    </xf>
    <xf numFmtId="169" fontId="1" fillId="0" borderId="0" xfId="0" applyNumberFormat="1" applyFont="1" applyBorder="1" applyAlignment="1" applyProtection="1">
      <alignment horizontal="center"/>
    </xf>
    <xf numFmtId="0" fontId="2" fillId="0" borderId="0" xfId="0" applyFont="1" applyAlignment="1">
      <alignment vertical="top" wrapText="1"/>
    </xf>
    <xf numFmtId="0" fontId="21" fillId="0" borderId="0" xfId="43" applyNumberFormat="1" applyFont="1" applyFill="1" applyBorder="1" applyAlignment="1" applyProtection="1"/>
    <xf numFmtId="0" fontId="2" fillId="26" borderId="0" xfId="43" applyFill="1" applyBorder="1" applyProtection="1"/>
    <xf numFmtId="0" fontId="0" fillId="26" borderId="0" xfId="0" applyFill="1" applyBorder="1" applyProtection="1"/>
    <xf numFmtId="0" fontId="0" fillId="26" borderId="0" xfId="0" applyFill="1" applyBorder="1" applyAlignment="1" applyProtection="1">
      <alignment horizontal="left"/>
    </xf>
    <xf numFmtId="0" fontId="2" fillId="26" borderId="0" xfId="0" applyFont="1" applyFill="1" applyBorder="1" applyProtection="1"/>
    <xf numFmtId="0" fontId="24" fillId="26" borderId="0" xfId="43" applyNumberFormat="1" applyFont="1" applyFill="1" applyBorder="1" applyAlignment="1" applyProtection="1">
      <alignment horizontal="left"/>
    </xf>
    <xf numFmtId="0" fontId="28" fillId="26" borderId="0" xfId="43" applyNumberFormat="1" applyFont="1" applyFill="1" applyBorder="1" applyAlignment="1" applyProtection="1">
      <alignment horizontal="center"/>
    </xf>
    <xf numFmtId="0" fontId="28" fillId="26" borderId="0" xfId="43" applyNumberFormat="1" applyFont="1" applyFill="1" applyBorder="1" applyAlignment="1" applyProtection="1">
      <alignment horizontal="right"/>
    </xf>
    <xf numFmtId="0" fontId="2" fillId="0" borderId="0" xfId="0" applyFont="1" applyAlignment="1">
      <alignment vertical="center"/>
    </xf>
    <xf numFmtId="0" fontId="1" fillId="0" borderId="0" xfId="0" applyFont="1" applyAlignment="1" applyProtection="1">
      <alignment vertical="center"/>
    </xf>
    <xf numFmtId="0" fontId="2" fillId="0" borderId="0" xfId="43" applyFont="1" applyFill="1" applyBorder="1" applyAlignment="1" applyProtection="1">
      <alignment horizontal="center"/>
    </xf>
    <xf numFmtId="0" fontId="22" fillId="0" borderId="0" xfId="0" applyFont="1" applyBorder="1" applyAlignment="1" applyProtection="1">
      <alignment horizontal="center"/>
    </xf>
    <xf numFmtId="0" fontId="22" fillId="0" borderId="14" xfId="0" applyFont="1" applyBorder="1" applyAlignment="1" applyProtection="1">
      <alignment horizontal="center"/>
    </xf>
    <xf numFmtId="0" fontId="2" fillId="0" borderId="0" xfId="43" applyNumberFormat="1" applyFont="1" applyFill="1" applyBorder="1" applyAlignment="1" applyProtection="1">
      <alignment horizontal="center"/>
    </xf>
    <xf numFmtId="9" fontId="0" fillId="0" borderId="0" xfId="0" applyNumberFormat="1" applyProtection="1"/>
    <xf numFmtId="0" fontId="26" fillId="0" borderId="0" xfId="43" applyNumberFormat="1" applyFont="1" applyFill="1" applyBorder="1" applyAlignment="1" applyProtection="1">
      <alignment horizontal="left"/>
    </xf>
    <xf numFmtId="2" fontId="49" fillId="0" borderId="19" xfId="32" applyNumberFormat="1" applyFont="1" applyFill="1" applyBorder="1" applyAlignment="1" applyProtection="1">
      <alignment horizontal="center"/>
    </xf>
    <xf numFmtId="2" fontId="49" fillId="0" borderId="20" xfId="32" applyNumberFormat="1" applyFont="1" applyFill="1" applyBorder="1" applyAlignment="1" applyProtection="1">
      <alignment horizontal="center"/>
    </xf>
    <xf numFmtId="174" fontId="46" fillId="25" borderId="0" xfId="32" applyNumberFormat="1" applyAlignment="1" applyProtection="1">
      <alignment horizontal="left"/>
      <protection locked="0"/>
    </xf>
    <xf numFmtId="1" fontId="46" fillId="25" borderId="0" xfId="32" applyNumberFormat="1" applyAlignment="1" applyProtection="1">
      <alignment horizontal="left"/>
      <protection locked="0"/>
    </xf>
    <xf numFmtId="170" fontId="46" fillId="25" borderId="21" xfId="32" applyNumberFormat="1" applyBorder="1" applyAlignment="1" applyProtection="1">
      <alignment horizontal="center"/>
      <protection locked="0"/>
    </xf>
    <xf numFmtId="170" fontId="46" fillId="25" borderId="22" xfId="32" applyNumberFormat="1" applyBorder="1" applyAlignment="1" applyProtection="1">
      <alignment horizontal="center"/>
      <protection locked="0"/>
    </xf>
    <xf numFmtId="0" fontId="46" fillId="25" borderId="19" xfId="32" applyNumberFormat="1" applyBorder="1" applyAlignment="1" applyProtection="1">
      <alignment horizontal="center"/>
      <protection locked="0"/>
    </xf>
    <xf numFmtId="0" fontId="46" fillId="25" borderId="20" xfId="32" applyNumberFormat="1" applyBorder="1" applyAlignment="1" applyProtection="1">
      <alignment horizontal="center"/>
      <protection locked="0"/>
    </xf>
    <xf numFmtId="0" fontId="0" fillId="0" borderId="0" xfId="0" applyAlignment="1" applyProtection="1">
      <alignment horizontal="center"/>
    </xf>
    <xf numFmtId="171" fontId="46" fillId="0" borderId="0" xfId="32" applyNumberFormat="1" applyFill="1" applyBorder="1" applyAlignment="1" applyProtection="1">
      <alignment horizontal="center" vertical="center"/>
    </xf>
    <xf numFmtId="0" fontId="46" fillId="0" borderId="0" xfId="32" applyFill="1" applyBorder="1" applyAlignment="1" applyProtection="1">
      <alignment horizontal="center" vertical="center"/>
    </xf>
    <xf numFmtId="0" fontId="46" fillId="0" borderId="0" xfId="32" applyFill="1" applyBorder="1" applyAlignment="1" applyProtection="1">
      <alignment horizontal="center"/>
    </xf>
    <xf numFmtId="172" fontId="46" fillId="0" borderId="0" xfId="32" applyNumberFormat="1" applyFill="1" applyBorder="1" applyAlignment="1" applyProtection="1">
      <alignment horizontal="center"/>
    </xf>
    <xf numFmtId="0" fontId="2" fillId="0" borderId="0" xfId="0" applyFont="1" applyAlignment="1" applyProtection="1">
      <alignment horizontal="center"/>
    </xf>
    <xf numFmtId="0" fontId="2" fillId="0" borderId="0" xfId="43" applyFont="1" applyFill="1" applyBorder="1" applyAlignment="1" applyProtection="1">
      <alignment horizontal="left"/>
    </xf>
    <xf numFmtId="0" fontId="22" fillId="0" borderId="0" xfId="0" applyFont="1" applyProtection="1"/>
    <xf numFmtId="0" fontId="33" fillId="0" borderId="0" xfId="43" applyNumberFormat="1" applyFont="1" applyFill="1" applyBorder="1" applyAlignment="1" applyProtection="1">
      <alignment horizontal="right"/>
    </xf>
    <xf numFmtId="0" fontId="34" fillId="0" borderId="0" xfId="0" applyFont="1" applyBorder="1" applyAlignment="1" applyProtection="1">
      <alignment horizontal="left"/>
    </xf>
    <xf numFmtId="9" fontId="34" fillId="0" borderId="0" xfId="0" applyNumberFormat="1" applyFont="1" applyBorder="1" applyAlignment="1" applyProtection="1">
      <alignment horizontal="left"/>
    </xf>
    <xf numFmtId="170" fontId="34" fillId="0" borderId="0" xfId="0" applyNumberFormat="1" applyFont="1" applyBorder="1" applyAlignment="1" applyProtection="1">
      <alignment horizontal="center"/>
    </xf>
    <xf numFmtId="0" fontId="34" fillId="0" borderId="0" xfId="0" applyFont="1" applyBorder="1" applyAlignment="1" applyProtection="1">
      <alignment horizontal="center"/>
    </xf>
    <xf numFmtId="2" fontId="34" fillId="0" borderId="0" xfId="0" applyNumberFormat="1" applyFont="1" applyBorder="1" applyAlignment="1" applyProtection="1">
      <alignment horizontal="center"/>
    </xf>
    <xf numFmtId="0" fontId="0" fillId="26" borderId="0" xfId="0" applyFill="1" applyProtection="1"/>
    <xf numFmtId="0" fontId="0" fillId="26" borderId="0" xfId="0" applyFill="1" applyAlignment="1" applyProtection="1">
      <alignment horizontal="right"/>
    </xf>
    <xf numFmtId="0" fontId="2" fillId="26" borderId="0" xfId="0" applyFont="1" applyFill="1" applyProtection="1"/>
    <xf numFmtId="0" fontId="0" fillId="0" borderId="0" xfId="0" applyFont="1" applyProtection="1"/>
    <xf numFmtId="164" fontId="34" fillId="0" borderId="0" xfId="0" applyNumberFormat="1" applyFont="1" applyBorder="1" applyAlignment="1" applyProtection="1">
      <alignment horizontal="left"/>
    </xf>
    <xf numFmtId="0" fontId="50" fillId="0" borderId="0" xfId="0" applyFont="1" applyBorder="1" applyAlignment="1" applyProtection="1">
      <alignment horizontal="left"/>
    </xf>
    <xf numFmtId="0" fontId="51" fillId="0" borderId="0" xfId="0" applyFont="1" applyBorder="1" applyAlignment="1" applyProtection="1"/>
    <xf numFmtId="0" fontId="52" fillId="0" borderId="0" xfId="0" applyFont="1" applyBorder="1" applyAlignment="1" applyProtection="1">
      <alignment horizontal="center"/>
    </xf>
    <xf numFmtId="170" fontId="50" fillId="0" borderId="0" xfId="0" applyNumberFormat="1" applyFont="1" applyBorder="1" applyAlignment="1" applyProtection="1">
      <alignment horizontal="center"/>
    </xf>
    <xf numFmtId="2" fontId="46" fillId="25" borderId="0" xfId="32" applyNumberFormat="1" applyAlignment="1" applyProtection="1">
      <alignment horizontal="left"/>
      <protection locked="0"/>
    </xf>
    <xf numFmtId="0" fontId="34" fillId="0" borderId="0" xfId="0" applyNumberFormat="1" applyFont="1" applyBorder="1" applyAlignment="1" applyProtection="1">
      <alignment horizontal="center"/>
    </xf>
    <xf numFmtId="0" fontId="0" fillId="0" borderId="0" xfId="0" applyAlignment="1" applyProtection="1"/>
    <xf numFmtId="0" fontId="46" fillId="25" borderId="0" xfId="32" applyAlignment="1" applyProtection="1">
      <protection locked="0"/>
    </xf>
    <xf numFmtId="0" fontId="31" fillId="0" borderId="0" xfId="0" applyFont="1" applyBorder="1" applyAlignment="1" applyProtection="1">
      <alignment horizontal="center"/>
    </xf>
    <xf numFmtId="171" fontId="34" fillId="0" borderId="0" xfId="0" applyNumberFormat="1" applyFont="1" applyBorder="1" applyAlignment="1" applyProtection="1">
      <alignment horizontal="left"/>
    </xf>
    <xf numFmtId="0" fontId="2" fillId="0" borderId="0" xfId="0" applyFont="1" applyAlignment="1" applyProtection="1"/>
    <xf numFmtId="171" fontId="46" fillId="25" borderId="0" xfId="32" applyNumberFormat="1" applyAlignment="1" applyProtection="1">
      <alignment horizontal="left"/>
      <protection locked="0"/>
    </xf>
    <xf numFmtId="0" fontId="2" fillId="0" borderId="0" xfId="0" applyFont="1" applyAlignment="1" applyProtection="1">
      <alignment horizontal="right" vertical="center"/>
    </xf>
    <xf numFmtId="0" fontId="27" fillId="0" borderId="0" xfId="43" applyNumberFormat="1" applyFont="1" applyFill="1" applyBorder="1" applyAlignment="1" applyProtection="1"/>
    <xf numFmtId="0" fontId="31" fillId="0" borderId="0" xfId="0" applyFont="1" applyProtection="1"/>
    <xf numFmtId="167" fontId="22" fillId="0" borderId="0" xfId="43" applyNumberFormat="1" applyFont="1" applyFill="1" applyBorder="1" applyAlignment="1" applyProtection="1"/>
    <xf numFmtId="0" fontId="23" fillId="0" borderId="0" xfId="43" applyNumberFormat="1" applyFont="1" applyFill="1" applyBorder="1" applyAlignment="1" applyProtection="1"/>
    <xf numFmtId="0" fontId="3" fillId="26" borderId="0" xfId="43" applyNumberFormat="1" applyFont="1" applyFill="1" applyBorder="1" applyAlignment="1" applyProtection="1">
      <alignment vertical="top" wrapText="1"/>
    </xf>
    <xf numFmtId="0" fontId="33" fillId="26" borderId="0" xfId="43" applyNumberFormat="1" applyFont="1" applyFill="1" applyBorder="1" applyAlignment="1" applyProtection="1">
      <alignment horizontal="right"/>
    </xf>
    <xf numFmtId="164" fontId="22" fillId="0" borderId="14" xfId="0" applyNumberFormat="1" applyFont="1" applyBorder="1" applyAlignment="1" applyProtection="1">
      <alignment horizontal="center"/>
    </xf>
    <xf numFmtId="175" fontId="34" fillId="0" borderId="0" xfId="0" applyNumberFormat="1" applyFont="1" applyBorder="1" applyAlignment="1" applyProtection="1">
      <alignment horizontal="center"/>
    </xf>
    <xf numFmtId="9" fontId="34" fillId="0" borderId="0" xfId="0" applyNumberFormat="1" applyFont="1" applyBorder="1" applyAlignment="1" applyProtection="1">
      <alignment horizontal="center"/>
    </xf>
    <xf numFmtId="170" fontId="53" fillId="0" borderId="0" xfId="0" applyNumberFormat="1" applyFont="1" applyBorder="1" applyAlignment="1" applyProtection="1">
      <alignment horizontal="left"/>
    </xf>
    <xf numFmtId="0" fontId="53" fillId="0" borderId="0" xfId="0" applyFont="1" applyBorder="1" applyAlignment="1" applyProtection="1">
      <alignment horizontal="left"/>
    </xf>
    <xf numFmtId="0" fontId="53" fillId="0" borderId="0" xfId="0" applyFont="1" applyBorder="1" applyAlignment="1" applyProtection="1">
      <alignment horizontal="center"/>
    </xf>
    <xf numFmtId="164" fontId="34" fillId="0" borderId="0" xfId="43" applyNumberFormat="1" applyFont="1" applyFill="1" applyBorder="1" applyAlignment="1" applyProtection="1">
      <alignment horizontal="left"/>
    </xf>
    <xf numFmtId="0" fontId="38" fillId="0" borderId="0" xfId="43" applyNumberFormat="1" applyFont="1" applyFill="1" applyBorder="1" applyAlignment="1" applyProtection="1"/>
    <xf numFmtId="0" fontId="39" fillId="0" borderId="0" xfId="43" applyNumberFormat="1" applyFont="1" applyFill="1" applyBorder="1" applyAlignment="1" applyProtection="1"/>
    <xf numFmtId="0" fontId="40" fillId="0" borderId="0" xfId="43" applyNumberFormat="1" applyFont="1" applyFill="1" applyBorder="1" applyAlignment="1" applyProtection="1">
      <alignment horizontal="right"/>
    </xf>
    <xf numFmtId="0" fontId="41" fillId="0" borderId="0" xfId="43" applyNumberFormat="1" applyFont="1" applyFill="1" applyBorder="1" applyAlignment="1" applyProtection="1">
      <alignment horizontal="left"/>
    </xf>
    <xf numFmtId="0" fontId="41" fillId="0" borderId="0" xfId="0" applyFont="1" applyBorder="1" applyAlignment="1" applyProtection="1">
      <alignment horizontal="left"/>
    </xf>
    <xf numFmtId="0" fontId="38" fillId="0" borderId="0" xfId="0" applyFont="1" applyProtection="1"/>
    <xf numFmtId="0" fontId="42" fillId="0" borderId="0" xfId="43" applyNumberFormat="1" applyFont="1" applyFill="1" applyBorder="1" applyAlignment="1" applyProtection="1"/>
    <xf numFmtId="14" fontId="41" fillId="0" borderId="0" xfId="0" applyNumberFormat="1" applyFont="1" applyBorder="1" applyAlignment="1" applyProtection="1">
      <alignment horizontal="left"/>
    </xf>
    <xf numFmtId="170" fontId="34" fillId="0" borderId="0" xfId="43" applyNumberFormat="1" applyFont="1" applyFill="1" applyBorder="1" applyAlignment="1" applyProtection="1">
      <alignment horizontal="center"/>
    </xf>
    <xf numFmtId="9" fontId="34" fillId="0" borderId="0" xfId="43" applyNumberFormat="1" applyFont="1" applyFill="1" applyBorder="1" applyAlignment="1" applyProtection="1">
      <alignment horizontal="center"/>
    </xf>
    <xf numFmtId="164" fontId="22" fillId="0" borderId="0" xfId="0" applyNumberFormat="1" applyFont="1" applyBorder="1" applyAlignment="1" applyProtection="1">
      <alignment horizontal="center"/>
    </xf>
    <xf numFmtId="174" fontId="34" fillId="0" borderId="0" xfId="0" applyNumberFormat="1" applyFont="1" applyAlignment="1" applyProtection="1">
      <alignment horizontal="left"/>
    </xf>
    <xf numFmtId="170" fontId="34" fillId="0" borderId="0" xfId="0" applyNumberFormat="1" applyFont="1" applyAlignment="1" applyProtection="1">
      <alignment horizontal="center"/>
    </xf>
    <xf numFmtId="9" fontId="34" fillId="0" borderId="0" xfId="0" applyNumberFormat="1" applyFont="1" applyAlignment="1" applyProtection="1">
      <alignment horizontal="center"/>
    </xf>
    <xf numFmtId="173" fontId="34" fillId="0" borderId="0" xfId="0" applyNumberFormat="1" applyFont="1" applyAlignment="1" applyProtection="1">
      <alignment horizontal="left"/>
    </xf>
    <xf numFmtId="0" fontId="34" fillId="0" borderId="0" xfId="0" applyFont="1" applyAlignment="1" applyProtection="1">
      <alignment horizontal="center"/>
    </xf>
    <xf numFmtId="0" fontId="2" fillId="0" borderId="0" xfId="43" applyFont="1" applyProtection="1"/>
    <xf numFmtId="0" fontId="43" fillId="0" borderId="0" xfId="43" applyNumberFormat="1" applyFont="1" applyFill="1" applyBorder="1" applyAlignment="1" applyProtection="1"/>
    <xf numFmtId="0" fontId="43" fillId="0" borderId="0" xfId="0" applyFont="1" applyProtection="1"/>
    <xf numFmtId="9" fontId="46" fillId="25" borderId="0" xfId="32" applyNumberFormat="1" applyAlignment="1" applyProtection="1">
      <alignment horizontal="left"/>
      <protection locked="0"/>
    </xf>
    <xf numFmtId="0" fontId="2" fillId="0" borderId="0" xfId="0" applyFont="1" applyProtection="1">
      <protection locked="0"/>
    </xf>
    <xf numFmtId="14" fontId="0" fillId="0" borderId="0" xfId="0" applyNumberFormat="1" applyProtection="1"/>
    <xf numFmtId="0" fontId="41" fillId="0" borderId="0" xfId="0" applyNumberFormat="1" applyFont="1" applyAlignment="1" applyProtection="1">
      <alignment horizontal="left"/>
    </xf>
    <xf numFmtId="0" fontId="34" fillId="0" borderId="0" xfId="43" applyNumberFormat="1" applyFont="1" applyFill="1" applyBorder="1" applyAlignment="1" applyProtection="1">
      <alignment horizontal="right"/>
    </xf>
    <xf numFmtId="168" fontId="2" fillId="0" borderId="0" xfId="0" applyNumberFormat="1" applyFont="1" applyAlignment="1" applyProtection="1">
      <alignment horizontal="left"/>
    </xf>
    <xf numFmtId="176" fontId="34" fillId="0" borderId="0" xfId="0" applyNumberFormat="1" applyFont="1" applyBorder="1" applyAlignment="1" applyProtection="1">
      <alignment horizontal="left"/>
    </xf>
    <xf numFmtId="177" fontId="34" fillId="0" borderId="0" xfId="0" applyNumberFormat="1" applyFont="1" applyBorder="1" applyAlignment="1" applyProtection="1">
      <alignment horizontal="left"/>
    </xf>
    <xf numFmtId="0" fontId="2" fillId="0" borderId="0" xfId="0" applyFont="1" applyAlignment="1" applyProtection="1">
      <alignment horizontal="left"/>
    </xf>
    <xf numFmtId="176" fontId="34" fillId="0" borderId="0" xfId="0" applyNumberFormat="1" applyFont="1" applyBorder="1" applyAlignment="1" applyProtection="1">
      <alignment horizontal="center"/>
    </xf>
    <xf numFmtId="0" fontId="46" fillId="25" borderId="0" xfId="32" applyAlignment="1" applyProtection="1">
      <alignment horizontal="left"/>
      <protection locked="0"/>
    </xf>
    <xf numFmtId="0" fontId="2" fillId="0" borderId="0" xfId="0" applyFont="1" applyAlignment="1" applyProtection="1">
      <alignment horizontal="right"/>
    </xf>
    <xf numFmtId="170" fontId="46" fillId="25" borderId="24" xfId="32" applyNumberFormat="1" applyBorder="1" applyAlignment="1" applyProtection="1">
      <alignment horizontal="center" vertical="center"/>
      <protection locked="0"/>
    </xf>
    <xf numFmtId="171" fontId="46" fillId="25" borderId="26" xfId="32" applyNumberFormat="1" applyBorder="1" applyAlignment="1" applyProtection="1">
      <alignment horizontal="center" vertical="center"/>
      <protection locked="0"/>
    </xf>
    <xf numFmtId="0" fontId="0" fillId="0" borderId="27" xfId="0" applyBorder="1" applyProtection="1"/>
    <xf numFmtId="0" fontId="46" fillId="25" borderId="28" xfId="32" applyNumberFormat="1" applyBorder="1" applyAlignment="1" applyProtection="1">
      <alignment horizontal="center"/>
      <protection locked="0"/>
    </xf>
    <xf numFmtId="171" fontId="34" fillId="0" borderId="0" xfId="0" applyNumberFormat="1" applyFont="1" applyBorder="1" applyAlignment="1" applyProtection="1">
      <alignment horizontal="center"/>
    </xf>
    <xf numFmtId="2" fontId="49" fillId="0" borderId="29" xfId="32" applyNumberFormat="1" applyFont="1" applyFill="1" applyBorder="1" applyAlignment="1" applyProtection="1">
      <alignment horizontal="center"/>
    </xf>
    <xf numFmtId="2" fontId="49" fillId="0" borderId="30" xfId="32" applyNumberFormat="1" applyFont="1" applyFill="1" applyBorder="1" applyAlignment="1" applyProtection="1">
      <alignment horizontal="center"/>
    </xf>
    <xf numFmtId="173" fontId="46" fillId="25" borderId="31" xfId="32" applyNumberFormat="1" applyBorder="1" applyAlignment="1" applyProtection="1">
      <alignment horizontal="center"/>
      <protection locked="0"/>
    </xf>
    <xf numFmtId="173" fontId="46" fillId="25" borderId="32" xfId="32" applyNumberFormat="1" applyBorder="1" applyAlignment="1" applyProtection="1">
      <alignment horizontal="center"/>
      <protection locked="0"/>
    </xf>
    <xf numFmtId="0" fontId="46" fillId="25" borderId="0" xfId="32" applyNumberFormat="1" applyBorder="1" applyAlignment="1" applyProtection="1">
      <alignment horizontal="left"/>
      <protection locked="0"/>
    </xf>
    <xf numFmtId="168" fontId="2" fillId="0" borderId="0" xfId="0" applyNumberFormat="1" applyFont="1" applyProtection="1"/>
    <xf numFmtId="0" fontId="21" fillId="27" borderId="12" xfId="25" applyFont="1" applyFill="1" applyBorder="1" applyAlignment="1" applyProtection="1">
      <alignment horizontal="center"/>
    </xf>
    <xf numFmtId="165" fontId="2" fillId="27" borderId="14" xfId="25" applyNumberFormat="1" applyFont="1" applyFill="1" applyBorder="1" applyAlignment="1" applyProtection="1">
      <alignment horizontal="center"/>
    </xf>
    <xf numFmtId="166" fontId="2" fillId="27" borderId="14" xfId="25" applyNumberFormat="1" applyFont="1" applyFill="1" applyBorder="1" applyAlignment="1" applyProtection="1">
      <alignment horizontal="center"/>
    </xf>
    <xf numFmtId="0" fontId="2" fillId="27" borderId="14" xfId="25" applyFont="1" applyFill="1" applyBorder="1" applyAlignment="1" applyProtection="1">
      <alignment horizontal="center"/>
    </xf>
    <xf numFmtId="0" fontId="2" fillId="27" borderId="12" xfId="25" applyFont="1" applyFill="1" applyBorder="1" applyAlignment="1" applyProtection="1">
      <alignment horizontal="center"/>
    </xf>
    <xf numFmtId="0" fontId="60" fillId="0" borderId="0" xfId="43" applyNumberFormat="1" applyFont="1" applyFill="1" applyBorder="1" applyAlignment="1" applyProtection="1">
      <alignment horizontal="center"/>
    </xf>
    <xf numFmtId="0" fontId="61" fillId="0" borderId="0" xfId="43" applyNumberFormat="1" applyFont="1" applyFill="1" applyBorder="1" applyAlignment="1" applyProtection="1">
      <alignment horizontal="right"/>
    </xf>
    <xf numFmtId="0" fontId="62" fillId="0" borderId="0" xfId="43" applyNumberFormat="1" applyFont="1" applyFill="1" applyBorder="1" applyAlignment="1" applyProtection="1">
      <alignment horizontal="right"/>
    </xf>
    <xf numFmtId="2" fontId="49" fillId="0" borderId="23" xfId="0" applyNumberFormat="1" applyFont="1" applyBorder="1" applyAlignment="1" applyProtection="1">
      <alignment horizontal="center"/>
    </xf>
    <xf numFmtId="0" fontId="54" fillId="25" borderId="25" xfId="32" applyNumberFormat="1" applyFont="1" applyBorder="1" applyAlignment="1" applyProtection="1">
      <alignment horizontal="center" vertical="center"/>
      <protection locked="0"/>
    </xf>
    <xf numFmtId="179" fontId="34" fillId="0" borderId="0" xfId="0" applyNumberFormat="1" applyFont="1" applyBorder="1" applyAlignment="1" applyProtection="1">
      <alignment horizontal="center"/>
    </xf>
    <xf numFmtId="178" fontId="46" fillId="25" borderId="0" xfId="32" applyNumberFormat="1" applyBorder="1" applyAlignment="1" applyProtection="1">
      <alignment horizontal="left"/>
      <protection locked="0"/>
    </xf>
    <xf numFmtId="0" fontId="46" fillId="25" borderId="0" xfId="32" applyBorder="1" applyAlignment="1" applyProtection="1">
      <alignment horizontal="left"/>
      <protection locked="0"/>
    </xf>
    <xf numFmtId="0" fontId="46" fillId="25" borderId="0" xfId="32" applyAlignment="1" applyProtection="1">
      <alignment horizontal="left"/>
      <protection locked="0"/>
    </xf>
    <xf numFmtId="0" fontId="46" fillId="25" borderId="0" xfId="32" applyNumberFormat="1" applyBorder="1" applyAlignment="1" applyProtection="1">
      <alignment horizontal="left"/>
      <protection locked="0"/>
    </xf>
    <xf numFmtId="0" fontId="27" fillId="0" borderId="0" xfId="43" applyNumberFormat="1" applyFont="1" applyFill="1" applyBorder="1" applyAlignment="1" applyProtection="1">
      <alignment horizontal="center"/>
    </xf>
    <xf numFmtId="167" fontId="22" fillId="0" borderId="0" xfId="43" applyNumberFormat="1" applyFont="1" applyFill="1" applyBorder="1" applyAlignment="1" applyProtection="1">
      <alignment horizontal="center"/>
    </xf>
    <xf numFmtId="2" fontId="1" fillId="0" borderId="33" xfId="43" applyNumberFormat="1" applyFont="1" applyFill="1" applyBorder="1" applyAlignment="1" applyProtection="1">
      <alignment horizontal="center"/>
    </xf>
    <xf numFmtId="2" fontId="1" fillId="0" borderId="34" xfId="43" applyNumberFormat="1" applyFont="1" applyFill="1" applyBorder="1" applyAlignment="1" applyProtection="1">
      <alignment horizontal="center"/>
    </xf>
    <xf numFmtId="2" fontId="1" fillId="0" borderId="10" xfId="43" applyNumberFormat="1" applyFont="1" applyFill="1" applyBorder="1" applyAlignment="1" applyProtection="1">
      <alignment horizontal="center"/>
    </xf>
    <xf numFmtId="0" fontId="34" fillId="0" borderId="0" xfId="0" applyNumberFormat="1" applyFont="1" applyBorder="1" applyAlignment="1" applyProtection="1">
      <alignment horizontal="left"/>
    </xf>
    <xf numFmtId="0" fontId="55" fillId="0" borderId="0" xfId="43" applyNumberFormat="1" applyFont="1" applyFill="1" applyBorder="1" applyAlignment="1" applyProtection="1">
      <alignment horizontal="center"/>
    </xf>
    <xf numFmtId="0" fontId="2" fillId="0" borderId="0" xfId="43" applyNumberFormat="1" applyFont="1" applyFill="1" applyBorder="1" applyAlignment="1" applyProtection="1">
      <alignment horizontal="center"/>
    </xf>
    <xf numFmtId="0" fontId="56" fillId="0" borderId="0" xfId="43" applyNumberFormat="1" applyFont="1" applyFill="1" applyBorder="1" applyAlignment="1" applyProtection="1">
      <alignment horizontal="center"/>
    </xf>
    <xf numFmtId="0" fontId="34" fillId="0" borderId="0" xfId="0" applyFont="1" applyBorder="1" applyAlignment="1" applyProtection="1">
      <alignment horizontal="left"/>
    </xf>
    <xf numFmtId="0" fontId="63" fillId="0" borderId="0" xfId="0" applyFont="1" applyBorder="1" applyAlignment="1" applyProtection="1">
      <alignment horizontal="left" vertical="top" wrapText="1"/>
    </xf>
  </cellXfs>
  <cellStyles count="54">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xfId="25" builtinId="27"/>
    <cellStyle name="Bad 2" xfId="26"/>
    <cellStyle name="Bad 3" xfId="27"/>
    <cellStyle name="Calculation 2" xfId="28"/>
    <cellStyle name="Check Cell 2" xfId="29"/>
    <cellStyle name="Comma 2" xfId="30"/>
    <cellStyle name="Explanatory Text 2" xfId="31"/>
    <cellStyle name="Good" xfId="32" builtinId="26"/>
    <cellStyle name="Good 2" xfId="33"/>
    <cellStyle name="Good 3" xfId="34"/>
    <cellStyle name="Heading 1 2" xfId="35"/>
    <cellStyle name="Heading 2 2" xfId="36"/>
    <cellStyle name="Heading 3 2" xfId="37"/>
    <cellStyle name="Heading 4 2" xfId="38"/>
    <cellStyle name="Input 2" xfId="39"/>
    <cellStyle name="Linked Cell 2" xfId="40"/>
    <cellStyle name="Neutral 2" xfId="41"/>
    <cellStyle name="Normal" xfId="0" builtinId="0"/>
    <cellStyle name="Normal 2" xfId="42"/>
    <cellStyle name="Normal 3" xfId="43"/>
    <cellStyle name="Note 2" xfId="44"/>
    <cellStyle name="Note 3" xfId="45"/>
    <cellStyle name="Note 4" xfId="46"/>
    <cellStyle name="Note 5" xfId="47"/>
    <cellStyle name="Output 2" xfId="48"/>
    <cellStyle name="Percent 2" xfId="49"/>
    <cellStyle name="Percent 3" xfId="50"/>
    <cellStyle name="Title 2" xfId="51"/>
    <cellStyle name="Total 2" xfId="52"/>
    <cellStyle name="Warning Text 2" xfId="53"/>
  </cellStyles>
  <dxfs count="38">
    <dxf>
      <numFmt numFmtId="180" formatCode="0.0\ &quot;CFM at 50 Pa&quot;"/>
    </dxf>
    <dxf>
      <numFmt numFmtId="181" formatCode="0\ &quot;m3/h at 25 Pa&quot;"/>
    </dxf>
    <dxf>
      <numFmt numFmtId="182" formatCode="0.0\ &quot;CFM at 25 Pa&quot;"/>
    </dxf>
    <dxf>
      <numFmt numFmtId="183" formatCode="0\ &quot;m3/h at 50 Pa&quot;"/>
    </dxf>
    <dxf>
      <numFmt numFmtId="184" formatCode="0\ &quot;CFM/1,000 sq ft at 25 Pa&quot;"/>
    </dxf>
    <dxf>
      <numFmt numFmtId="185" formatCode="0\ &quot;CFM/1,000 sq ft at 50 Pa&quot;"/>
    </dxf>
    <dxf>
      <numFmt numFmtId="186" formatCode="0.0\ &quot;CFM/100 sq ft at 25 Pa&quot;"/>
    </dxf>
    <dxf>
      <numFmt numFmtId="187" formatCode="0.0\ &quot;CFM/100 sq ft at 50 Pa&quot;"/>
    </dxf>
    <dxf>
      <numFmt numFmtId="188" formatCode="0.000\ &quot;CFM/sq ft at 25 Pa&quot;"/>
    </dxf>
    <dxf>
      <numFmt numFmtId="189" formatCode="0.000\ &quot;CFM/sq ft at 50 Pa&quot;"/>
    </dxf>
    <dxf>
      <font>
        <b/>
        <i val="0"/>
        <color rgb="FFFF0000"/>
      </font>
    </dxf>
    <dxf>
      <numFmt numFmtId="190" formatCode="0.0\ &quot;sq in at 25 Pa&quot;"/>
    </dxf>
    <dxf>
      <numFmt numFmtId="191" formatCode="0.0\ &quot;sq cm at 25 Pa&quot;"/>
    </dxf>
    <dxf>
      <numFmt numFmtId="192" formatCode="0.0\ &quot;sq in at 50 Pa&quot;"/>
    </dxf>
    <dxf>
      <numFmt numFmtId="193" formatCode="0\ &quot;sq cm at 50 Pa&quot;"/>
    </dxf>
    <dxf>
      <numFmt numFmtId="194" formatCode="0.0\ &quot;CFM&quot;"/>
    </dxf>
    <dxf>
      <numFmt numFmtId="172" formatCode="0\ &quot;m3/h&quot;"/>
    </dxf>
    <dxf>
      <numFmt numFmtId="180" formatCode="0.0\ &quot;CFM at 50 Pa&quot;"/>
    </dxf>
    <dxf>
      <numFmt numFmtId="181" formatCode="0\ &quot;m3/h at 25 Pa&quot;"/>
    </dxf>
    <dxf>
      <numFmt numFmtId="182" formatCode="0.0\ &quot;CFM at 25 Pa&quot;"/>
    </dxf>
    <dxf>
      <numFmt numFmtId="183" formatCode="0\ &quot;m3/h at 50 Pa&quot;"/>
    </dxf>
    <dxf>
      <numFmt numFmtId="195" formatCode="0.0\ &quot;sq in&quot;"/>
    </dxf>
    <dxf>
      <numFmt numFmtId="196" formatCode="0.0\ &quot;sq cm&quot;"/>
    </dxf>
    <dxf>
      <numFmt numFmtId="194" formatCode="0.0\ &quot;CFM&quot;"/>
    </dxf>
    <dxf>
      <numFmt numFmtId="172" formatCode="0\ &quot;m3/h&quot;"/>
    </dxf>
    <dxf>
      <numFmt numFmtId="197" formatCode="0\ &quot;CFM&quot;"/>
    </dxf>
    <dxf>
      <numFmt numFmtId="172" formatCode="0\ &quot;m3/h&quot;"/>
    </dxf>
    <dxf>
      <numFmt numFmtId="194" formatCode="0.0\ &quot;CFM&quot;"/>
    </dxf>
    <dxf>
      <numFmt numFmtId="172" formatCode="0\ &quot;m3/h&quot;"/>
    </dxf>
    <dxf>
      <numFmt numFmtId="198" formatCode="0.0\ &quot;sq m&quot;"/>
    </dxf>
    <dxf>
      <numFmt numFmtId="199" formatCode="0.0\ &quot;sq ft&quot;"/>
    </dxf>
    <dxf>
      <numFmt numFmtId="172" formatCode="0\ &quot;m3/h&quot;"/>
    </dxf>
    <dxf>
      <numFmt numFmtId="197" formatCode="0\ &quot;CFM&quot;"/>
    </dxf>
    <dxf>
      <numFmt numFmtId="198" formatCode="0.0\ &quot;sq m&quot;"/>
    </dxf>
    <dxf>
      <numFmt numFmtId="199" formatCode="0.0\ &quot;sq ft&quot;"/>
    </dxf>
    <dxf>
      <border>
        <bottom style="thin">
          <color indexed="64"/>
        </bottom>
      </border>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G$13"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G$15"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161925</xdr:colOff>
      <xdr:row>59</xdr:row>
      <xdr:rowOff>104775</xdr:rowOff>
    </xdr:from>
    <xdr:to>
      <xdr:col>3</xdr:col>
      <xdr:colOff>695325</xdr:colOff>
      <xdr:row>60</xdr:row>
      <xdr:rowOff>76200</xdr:rowOff>
    </xdr:to>
    <xdr:pic>
      <xdr:nvPicPr>
        <xdr:cNvPr id="8864" name="Picture 1" descr="retrote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5025" y="19202400"/>
          <a:ext cx="22574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66676</xdr:rowOff>
    </xdr:from>
    <xdr:to>
      <xdr:col>6</xdr:col>
      <xdr:colOff>685799</xdr:colOff>
      <xdr:row>0</xdr:row>
      <xdr:rowOff>2047875</xdr:rowOff>
    </xdr:to>
    <xdr:sp macro="" textlink="">
      <xdr:nvSpPr>
        <xdr:cNvPr id="3" name="TextBox 2"/>
        <xdr:cNvSpPr txBox="1"/>
      </xdr:nvSpPr>
      <xdr:spPr>
        <a:xfrm>
          <a:off x="47625" y="66676"/>
          <a:ext cx="7486649" cy="1981199"/>
        </a:xfrm>
        <a:prstGeom prst="rect">
          <a:avLst/>
        </a:prstGeom>
        <a:solidFill>
          <a:srgbClr val="FFCC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600" b="1"/>
            <a:t>                                  </a:t>
          </a:r>
          <a:r>
            <a:rPr lang="en-US" sz="1800" b="1">
              <a:solidFill>
                <a:sysClr val="windowText" lastClr="000000"/>
              </a:solidFill>
            </a:rPr>
            <a:t>Duct Leakage Test Reporting software                         </a:t>
          </a:r>
          <a:r>
            <a:rPr lang="en-US" sz="1000" b="0">
              <a:solidFill>
                <a:sysClr val="windowText" lastClr="000000"/>
              </a:solidFill>
            </a:rPr>
            <a:t>rev-2014-08-18</a:t>
          </a:r>
          <a:endParaRPr lang="en-US" sz="400" b="1"/>
        </a:p>
        <a:p>
          <a:r>
            <a:rPr lang="en-US" sz="1600" b="1"/>
            <a:t>Instructions:</a:t>
          </a:r>
        </a:p>
        <a:p>
          <a:r>
            <a:rPr lang="en-US" sz="1100"/>
            <a:t>1. </a:t>
          </a:r>
          <a:r>
            <a:rPr lang="en-US" sz="1100" b="1"/>
            <a:t>Macros </a:t>
          </a:r>
          <a:r>
            <a:rPr lang="en-US" sz="1100" b="0"/>
            <a:t>must be enabled</a:t>
          </a:r>
          <a:r>
            <a:rPr lang="en-US" sz="1100">
              <a:solidFill>
                <a:schemeClr val="dk1"/>
              </a:solidFill>
              <a:latin typeface="+mn-lt"/>
              <a:ea typeface="+mn-ea"/>
              <a:cs typeface="+mn-cs"/>
            </a:rPr>
            <a:t> by clicking </a:t>
          </a:r>
          <a:r>
            <a:rPr lang="en-US" sz="1100"/>
            <a:t>the "</a:t>
          </a:r>
          <a:r>
            <a:rPr lang="en-US" sz="1100" b="1"/>
            <a:t>Enable Content</a:t>
          </a:r>
          <a:r>
            <a:rPr lang="en-US" sz="1100"/>
            <a:t>" button (on the Security Warning</a:t>
          </a:r>
          <a:r>
            <a:rPr lang="en-US" sz="1100" baseline="0"/>
            <a:t> </a:t>
          </a:r>
          <a:r>
            <a:rPr lang="en-US" sz="1100"/>
            <a:t>tool bar above)</a:t>
          </a:r>
        </a:p>
        <a:p>
          <a:endParaRPr lang="en-US" sz="1100" baseline="0"/>
        </a:p>
        <a:p>
          <a:r>
            <a:rPr lang="en-US" sz="1100"/>
            <a:t>2. Fill out </a:t>
          </a:r>
          <a:r>
            <a:rPr lang="en-US" sz="1100" baseline="0"/>
            <a:t>the </a:t>
          </a:r>
          <a:r>
            <a:rPr lang="en-US" sz="1100" b="0" baseline="0">
              <a:solidFill>
                <a:schemeClr val="accent3">
                  <a:lumMod val="50000"/>
                </a:schemeClr>
              </a:solidFill>
            </a:rPr>
            <a:t>green cells </a:t>
          </a:r>
          <a:r>
            <a:rPr lang="en-US" sz="1100" baseline="0"/>
            <a:t>only. The "Cost of Duct Leakage" section is optional.</a:t>
          </a:r>
        </a:p>
        <a:p>
          <a:endParaRPr lang="en-US" sz="1100" baseline="0"/>
        </a:p>
        <a:p>
          <a:r>
            <a:rPr lang="en-US" sz="1100" baseline="0"/>
            <a:t>3. To save  the Duct Leakage Test Report as a PDF file, click  "File" </a:t>
          </a:r>
          <a:r>
            <a:rPr lang="en-US" sz="1100">
              <a:solidFill>
                <a:schemeClr val="dk1"/>
              </a:solidFill>
              <a:latin typeface="+mn-lt"/>
              <a:ea typeface="+mn-ea"/>
              <a:cs typeface="+mn-cs"/>
              <a:sym typeface="Wingdings"/>
            </a:rPr>
            <a:t></a:t>
          </a:r>
          <a:r>
            <a:rPr lang="en-US" sz="1100" baseline="0"/>
            <a:t> "Save As" </a:t>
          </a:r>
          <a:r>
            <a:rPr lang="en-US" sz="1100">
              <a:solidFill>
                <a:schemeClr val="dk1"/>
              </a:solidFill>
              <a:latin typeface="+mn-lt"/>
              <a:ea typeface="+mn-ea"/>
              <a:cs typeface="+mn-cs"/>
              <a:sym typeface="Wingdings"/>
            </a:rPr>
            <a:t> Change the "Save</a:t>
          </a:r>
          <a:r>
            <a:rPr lang="en-US" sz="1100" baseline="0">
              <a:solidFill>
                <a:schemeClr val="dk1"/>
              </a:solidFill>
              <a:latin typeface="+mn-lt"/>
              <a:ea typeface="+mn-ea"/>
              <a:cs typeface="+mn-cs"/>
              <a:sym typeface="Wingdings"/>
            </a:rPr>
            <a:t> as type" to</a:t>
          </a:r>
          <a:r>
            <a:rPr lang="en-US" sz="1100" baseline="0"/>
            <a:t> "PDF " </a:t>
          </a:r>
          <a:r>
            <a:rPr lang="en-US" sz="1100">
              <a:solidFill>
                <a:schemeClr val="dk1"/>
              </a:solidFill>
              <a:latin typeface="+mn-lt"/>
              <a:ea typeface="+mn-ea"/>
              <a:cs typeface="+mn-cs"/>
              <a:sym typeface="Wingdings"/>
            </a:rPr>
            <a:t></a:t>
          </a:r>
          <a:r>
            <a:rPr lang="en-US" sz="1100" baseline="0"/>
            <a:t> "Save"</a:t>
          </a:r>
        </a:p>
        <a:p>
          <a:endParaRPr lang="en-US" sz="1100" baseline="0"/>
        </a:p>
        <a:p>
          <a:r>
            <a:rPr lang="en-US" sz="800" baseline="0"/>
            <a:t>For detailed  instruction on using this software, refer to section 8 o</a:t>
          </a:r>
          <a:r>
            <a:rPr lang="en-US" sz="800" baseline="0">
              <a:solidFill>
                <a:schemeClr val="dk1"/>
              </a:solidFill>
              <a:latin typeface="+mn-lt"/>
              <a:ea typeface="+mn-ea"/>
              <a:cs typeface="+mn-cs"/>
            </a:rPr>
            <a:t>f Retrotec's </a:t>
          </a:r>
          <a:r>
            <a:rPr lang="en-US" sz="800" i="1" baseline="0">
              <a:solidFill>
                <a:schemeClr val="dk1"/>
              </a:solidFill>
              <a:latin typeface="+mn-lt"/>
              <a:ea typeface="+mn-ea"/>
              <a:cs typeface="+mn-cs"/>
            </a:rPr>
            <a:t>Manual-DucTester Operation &amp; Testing</a:t>
          </a:r>
          <a:r>
            <a:rPr lang="en-US" sz="800" i="0" baseline="0">
              <a:solidFill>
                <a:schemeClr val="dk1"/>
              </a:solidFill>
              <a:latin typeface="+mn-lt"/>
              <a:ea typeface="+mn-ea"/>
              <a:cs typeface="+mn-cs"/>
            </a:rPr>
            <a:t>, which can be downloaded  at the following link:</a:t>
          </a:r>
          <a:br>
            <a:rPr lang="en-US" sz="800" i="0" baseline="0">
              <a:solidFill>
                <a:schemeClr val="dk1"/>
              </a:solidFill>
              <a:latin typeface="+mn-lt"/>
              <a:ea typeface="+mn-ea"/>
              <a:cs typeface="+mn-cs"/>
            </a:rPr>
          </a:br>
          <a:r>
            <a:rPr lang="en-US" sz="800" i="0" baseline="0">
              <a:solidFill>
                <a:schemeClr val="dk1"/>
              </a:solidFill>
              <a:latin typeface="+mn-lt"/>
              <a:ea typeface="+mn-ea"/>
              <a:cs typeface="+mn-cs"/>
            </a:rPr>
            <a:t>http://retrotec.com/Downloads/WebsitePDFs/Manual-DucTester Operation &amp; Testing.pdf</a:t>
          </a:r>
          <a:endParaRPr lang="en-US" sz="800"/>
        </a:p>
      </xdr:txBody>
    </xdr:sp>
    <xdr:clientData/>
  </xdr:twoCellAnchor>
  <xdr:twoCellAnchor>
    <xdr:from>
      <xdr:col>4</xdr:col>
      <xdr:colOff>142875</xdr:colOff>
      <xdr:row>44</xdr:row>
      <xdr:rowOff>495296</xdr:rowOff>
    </xdr:from>
    <xdr:to>
      <xdr:col>8</xdr:col>
      <xdr:colOff>647700</xdr:colOff>
      <xdr:row>56</xdr:row>
      <xdr:rowOff>4343400</xdr:rowOff>
    </xdr:to>
    <xdr:sp macro="" textlink="">
      <xdr:nvSpPr>
        <xdr:cNvPr id="4" name="TextBox 3"/>
        <xdr:cNvSpPr txBox="1"/>
      </xdr:nvSpPr>
      <xdr:spPr>
        <a:xfrm>
          <a:off x="4762500" y="13106396"/>
          <a:ext cx="5124450" cy="6410329"/>
        </a:xfrm>
        <a:prstGeom prst="rect">
          <a:avLst/>
        </a:prstGeom>
        <a:solidFill>
          <a:srgbClr val="FFCC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i="0" baseline="0"/>
            <a:t>% of Duct Leakage to Outdoors:</a:t>
          </a:r>
          <a:r>
            <a:rPr lang="en-US" sz="1100" b="0" i="0" baseline="0"/>
            <a:t> </a:t>
          </a:r>
          <a:r>
            <a:rPr lang="en-US" sz="1100">
              <a:solidFill>
                <a:schemeClr val="dk1"/>
              </a:solidFill>
              <a:latin typeface="+mn-lt"/>
              <a:ea typeface="+mn-ea"/>
              <a:cs typeface="+mn-cs"/>
            </a:rPr>
            <a:t>Enter the estimated percentage of the Total Duct leakage that leads to outdoors in order to estimate Cost of Duct Leakage. (Input is only required when performing a Total Duct Leakage test) </a:t>
          </a:r>
        </a:p>
        <a:p>
          <a:pPr marL="0" marR="0" indent="0" defTabSz="914400" eaLnBrk="1" fontAlgn="auto" latinLnBrk="0" hangingPunct="1">
            <a:lnSpc>
              <a:spcPct val="100000"/>
            </a:lnSpc>
            <a:spcBef>
              <a:spcPts val="0"/>
            </a:spcBef>
            <a:spcAft>
              <a:spcPts val="0"/>
            </a:spcAft>
            <a:buClrTx/>
            <a:buSzTx/>
            <a:buFontTx/>
            <a:buNone/>
            <a:tabLst/>
            <a:defRPr/>
          </a:pPr>
          <a:endParaRPr lang="en-US" sz="1100" b="1" i="0" baseline="0"/>
        </a:p>
        <a:p>
          <a:pPr marL="0" marR="0" indent="0" defTabSz="914400" eaLnBrk="1" fontAlgn="auto" latinLnBrk="0" hangingPunct="1">
            <a:lnSpc>
              <a:spcPct val="100000"/>
            </a:lnSpc>
            <a:spcBef>
              <a:spcPts val="0"/>
            </a:spcBef>
            <a:spcAft>
              <a:spcPts val="0"/>
            </a:spcAft>
            <a:buClrTx/>
            <a:buSzTx/>
            <a:buFontTx/>
            <a:buNone/>
            <a:tabLst/>
            <a:defRPr/>
          </a:pPr>
          <a:r>
            <a:rPr lang="en-US" sz="1100" b="1" i="0" baseline="0"/>
            <a:t>Annual Cooling Cost: </a:t>
          </a:r>
          <a:r>
            <a:rPr lang="en-US" sz="1100">
              <a:solidFill>
                <a:schemeClr val="dk1"/>
              </a:solidFill>
              <a:latin typeface="+mn-lt"/>
              <a:ea typeface="+mn-ea"/>
              <a:cs typeface="+mn-cs"/>
            </a:rPr>
            <a:t>Enter the cooling cost per year from the utility bill. This entry is used to estimate the cost of Duct Leakage to Outdoors included in the cooling bill.</a:t>
          </a:r>
        </a:p>
        <a:p>
          <a:pPr marL="0" marR="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latin typeface="+mn-lt"/>
            <a:ea typeface="+mn-ea"/>
            <a:cs typeface="+mn-cs"/>
          </a:endParaRPr>
        </a:p>
        <a:p>
          <a:r>
            <a:rPr lang="en-US" sz="1100" b="1" i="0" baseline="0">
              <a:solidFill>
                <a:schemeClr val="dk1"/>
              </a:solidFill>
              <a:latin typeface="+mn-lt"/>
              <a:ea typeface="+mn-ea"/>
              <a:cs typeface="+mn-cs"/>
            </a:rPr>
            <a:t>Annual Heating Cost: </a:t>
          </a:r>
          <a:r>
            <a:rPr lang="en-US" sz="1100">
              <a:solidFill>
                <a:schemeClr val="dk1"/>
              </a:solidFill>
              <a:latin typeface="+mn-lt"/>
              <a:ea typeface="+mn-ea"/>
              <a:cs typeface="+mn-cs"/>
            </a:rPr>
            <a:t>Enter heating cost per year from the utility bill. This entry is used to estimate the cost of Duct Leakage to Outdoors included in the heating bill.</a:t>
          </a:r>
        </a:p>
        <a:p>
          <a:endParaRPr lang="en-US" sz="1100" b="1" i="0" baseline="0"/>
        </a:p>
        <a:p>
          <a:pPr marL="0" marR="0" indent="0" defTabSz="914400" eaLnBrk="1" fontAlgn="auto" latinLnBrk="0" hangingPunct="1">
            <a:lnSpc>
              <a:spcPct val="100000"/>
            </a:lnSpc>
            <a:spcBef>
              <a:spcPts val="0"/>
            </a:spcBef>
            <a:spcAft>
              <a:spcPts val="0"/>
            </a:spcAft>
            <a:buClrTx/>
            <a:buSzTx/>
            <a:buFontTx/>
            <a:buNone/>
            <a:tabLst/>
            <a:defRPr/>
          </a:pPr>
          <a:r>
            <a:rPr lang="en-US" sz="1100" b="1" i="0" baseline="0"/>
            <a:t>Average  Duct Operating Pressure: </a:t>
          </a:r>
          <a:r>
            <a:rPr lang="en-US" sz="1100">
              <a:solidFill>
                <a:schemeClr val="dk1"/>
              </a:solidFill>
              <a:latin typeface="+mn-lt"/>
              <a:ea typeface="+mn-ea"/>
              <a:cs typeface="+mn-cs"/>
            </a:rPr>
            <a:t>Measure the pressure in the supply duct closest to the plenum and enter that pressure to get an accurate calculation of duct losses. Do the same for the return.  Using the test pressure (default value) here will not be as accurate. </a:t>
          </a:r>
        </a:p>
        <a:p>
          <a:pPr marL="0" marR="0" indent="0" defTabSz="914400" eaLnBrk="1" fontAlgn="auto" latinLnBrk="0" hangingPunct="1">
            <a:lnSpc>
              <a:spcPct val="100000"/>
            </a:lnSpc>
            <a:spcBef>
              <a:spcPts val="0"/>
            </a:spcBef>
            <a:spcAft>
              <a:spcPts val="0"/>
            </a:spcAft>
            <a:buClrTx/>
            <a:buSzTx/>
            <a:buFontTx/>
            <a:buNone/>
            <a:tabLst/>
            <a:defRPr/>
          </a:pPr>
          <a:endParaRPr lang="en-US" sz="1100" b="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latin typeface="+mn-lt"/>
              <a:ea typeface="+mn-ea"/>
              <a:cs typeface="+mn-cs"/>
            </a:rPr>
            <a:t>Leakage Split: </a:t>
          </a:r>
          <a:r>
            <a:rPr lang="en-US" sz="1100">
              <a:solidFill>
                <a:schemeClr val="dk1"/>
              </a:solidFill>
              <a:latin typeface="+mn-lt"/>
              <a:ea typeface="+mn-ea"/>
              <a:cs typeface="+mn-cs"/>
            </a:rPr>
            <a:t>Enter the estimated fraction of the Total Duct Leakage that is on the supply side and the return side. Their default values are 0.5, meaning the leakage of the HVAC system is split evenly between the supply and return. The Leakage Split for the supply side and the return side always add up to 1.0.</a:t>
          </a:r>
        </a:p>
        <a:p>
          <a:endParaRPr lang="en-US" sz="1100" b="1" baseline="0" smtClean="0">
            <a:solidFill>
              <a:schemeClr val="dk1"/>
            </a:solidFill>
            <a:latin typeface="+mn-lt"/>
            <a:ea typeface="+mn-ea"/>
            <a:cs typeface="+mn-cs"/>
          </a:endParaRPr>
        </a:p>
        <a:p>
          <a:r>
            <a:rPr lang="en-US" sz="1100" b="1" baseline="0" smtClean="0">
              <a:solidFill>
                <a:schemeClr val="dk1"/>
              </a:solidFill>
              <a:latin typeface="+mn-lt"/>
              <a:ea typeface="+mn-ea"/>
              <a:cs typeface="+mn-cs"/>
            </a:rPr>
            <a:t>Supply Leakage Penalty: </a:t>
          </a:r>
          <a:r>
            <a:rPr lang="en-US" sz="1100">
              <a:solidFill>
                <a:schemeClr val="dk1"/>
              </a:solidFill>
              <a:latin typeface="+mn-lt"/>
              <a:ea typeface="+mn-ea"/>
              <a:cs typeface="+mn-cs"/>
            </a:rPr>
            <a:t>This is the estimated fraction of energy loss of the supply side. The default value is 1.0. This means that of the supply air leakage, all of its energy is lost to the outdoors (i.e. none of its energy is returned back into the house). This number can be lowered if some of the energy from duct leakage leads back into the house. For example, if supply leaks are going into a wall cavity, some of the energy loss will be regained back into the house, so a lower leakage penalty would provide a better estimate of annual HVAC losses.</a:t>
          </a:r>
        </a:p>
        <a:p>
          <a:endParaRPr lang="en-US" sz="1100" baseline="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baseline="0" smtClean="0">
              <a:solidFill>
                <a:schemeClr val="dk1"/>
              </a:solidFill>
              <a:latin typeface="+mn-lt"/>
              <a:ea typeface="+mn-ea"/>
              <a:cs typeface="+mn-cs"/>
            </a:rPr>
            <a:t>Return Leakage Penalty: </a:t>
          </a:r>
          <a:r>
            <a:rPr lang="en-US" sz="1100">
              <a:solidFill>
                <a:schemeClr val="dk1"/>
              </a:solidFill>
              <a:latin typeface="+mn-lt"/>
              <a:ea typeface="+mn-ea"/>
              <a:cs typeface="+mn-cs"/>
            </a:rPr>
            <a:t>This is the estimated fraction of energy loss of the return side. The default value is 0.5, which assumes that of the return air leakage, about half of its energy is lost to outdoors (i.e. the other half of its energy is regained back into the house). This number can be raised if you suspect that there is actually more energy loss to the outdoors from the return side. For example, if the return goes through a very cold crawl space, the return leakage would pull in cold air and have a greater effect on the annual HVAC losses.</a:t>
          </a:r>
        </a:p>
        <a:p>
          <a:endParaRPr lang="en-US" sz="1100" i="1" baseline="0">
            <a:solidFill>
              <a:sysClr val="windowText" lastClr="000000"/>
            </a:solidFill>
          </a:endParaRPr>
        </a:p>
        <a:p>
          <a:r>
            <a:rPr lang="en-US" sz="800" i="0" baseline="0">
              <a:solidFill>
                <a:sysClr val="windowText" lastClr="000000"/>
              </a:solidFill>
            </a:rPr>
            <a:t>*The "Annual Cooling Loss" and "Annual Heating Loss"  in the report are for estimation purposes only </a:t>
          </a:r>
        </a:p>
      </xdr:txBody>
    </xdr:sp>
    <xdr:clientData/>
  </xdr:twoCellAnchor>
  <xdr:twoCellAnchor editAs="oneCell">
    <xdr:from>
      <xdr:col>0</xdr:col>
      <xdr:colOff>352425</xdr:colOff>
      <xdr:row>0</xdr:row>
      <xdr:rowOff>142875</xdr:rowOff>
    </xdr:from>
    <xdr:to>
      <xdr:col>0</xdr:col>
      <xdr:colOff>1600200</xdr:colOff>
      <xdr:row>0</xdr:row>
      <xdr:rowOff>371475</xdr:rowOff>
    </xdr:to>
    <xdr:pic>
      <xdr:nvPicPr>
        <xdr:cNvPr id="8868" name="il_fi" descr="http://png-1.findicons.com/files/icons/1753/microsoft_office_2007_orbs/256/office2007_trans.png"/>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2425" y="142875"/>
          <a:ext cx="1247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742950</xdr:colOff>
          <xdr:row>2</xdr:row>
          <xdr:rowOff>152400</xdr:rowOff>
        </xdr:from>
        <xdr:to>
          <xdr:col>3</xdr:col>
          <xdr:colOff>723900</xdr:colOff>
          <xdr:row>2</xdr:row>
          <xdr:rowOff>714375</xdr:rowOff>
        </xdr:to>
        <xdr:sp macro="" textlink="">
          <xdr:nvSpPr>
            <xdr:cNvPr id="5206" name="Group Box 1110" hidden="1">
              <a:extLst>
                <a:ext uri="{63B3BB69-23CF-44E3-9099-C40C66FF867C}">
                  <a14:compatExt spid="_x0000_s52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Test type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xdr:row>
          <xdr:rowOff>238125</xdr:rowOff>
        </xdr:from>
        <xdr:to>
          <xdr:col>3</xdr:col>
          <xdr:colOff>800100</xdr:colOff>
          <xdr:row>2</xdr:row>
          <xdr:rowOff>457200</xdr:rowOff>
        </xdr:to>
        <xdr:sp macro="" textlink="">
          <xdr:nvSpPr>
            <xdr:cNvPr id="5207" name="Option Button 1111" hidden="1">
              <a:extLst>
                <a:ext uri="{63B3BB69-23CF-44E3-9099-C40C66FF867C}">
                  <a14:compatExt spid="_x0000_s5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Total Duct Leakage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xdr:row>
          <xdr:rowOff>428625</xdr:rowOff>
        </xdr:from>
        <xdr:to>
          <xdr:col>3</xdr:col>
          <xdr:colOff>809625</xdr:colOff>
          <xdr:row>2</xdr:row>
          <xdr:rowOff>647700</xdr:rowOff>
        </xdr:to>
        <xdr:sp macro="" textlink="">
          <xdr:nvSpPr>
            <xdr:cNvPr id="5208" name="Option Button 1112" hidden="1">
              <a:extLst>
                <a:ext uri="{63B3BB69-23CF-44E3-9099-C40C66FF867C}">
                  <a14:compatExt spid="_x0000_s5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Duct Leakage to Outdoors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34</xdr:row>
          <xdr:rowOff>171450</xdr:rowOff>
        </xdr:from>
        <xdr:to>
          <xdr:col>3</xdr:col>
          <xdr:colOff>457200</xdr:colOff>
          <xdr:row>34</xdr:row>
          <xdr:rowOff>704850</xdr:rowOff>
        </xdr:to>
        <xdr:sp macro="" textlink="">
          <xdr:nvSpPr>
            <xdr:cNvPr id="5209" name="Group Box 1113" hidden="1">
              <a:extLst>
                <a:ext uri="{63B3BB69-23CF-44E3-9099-C40C66FF867C}">
                  <a14:compatExt spid="_x0000_s52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Test direction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266700</xdr:rowOff>
        </xdr:from>
        <xdr:to>
          <xdr:col>3</xdr:col>
          <xdr:colOff>333375</xdr:colOff>
          <xdr:row>34</xdr:row>
          <xdr:rowOff>485775</xdr:rowOff>
        </xdr:to>
        <xdr:sp macro="" textlink="">
          <xdr:nvSpPr>
            <xdr:cNvPr id="5210" name="Option Button 1114" hidden="1">
              <a:extLst>
                <a:ext uri="{63B3BB69-23CF-44E3-9099-C40C66FF867C}">
                  <a14:compatExt spid="_x0000_s5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Depressurization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34</xdr:row>
          <xdr:rowOff>447675</xdr:rowOff>
        </xdr:from>
        <xdr:to>
          <xdr:col>3</xdr:col>
          <xdr:colOff>228600</xdr:colOff>
          <xdr:row>34</xdr:row>
          <xdr:rowOff>657225</xdr:rowOff>
        </xdr:to>
        <xdr:sp macro="" textlink="">
          <xdr:nvSpPr>
            <xdr:cNvPr id="5211" name="Option Button 1115" hidden="1">
              <a:extLst>
                <a:ext uri="{63B3BB69-23CF-44E3-9099-C40C66FF867C}">
                  <a14:compatExt spid="_x0000_s5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Pressurization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247650</xdr:colOff>
          <xdr:row>56</xdr:row>
          <xdr:rowOff>38100</xdr:rowOff>
        </xdr:from>
        <xdr:to>
          <xdr:col>3</xdr:col>
          <xdr:colOff>781050</xdr:colOff>
          <xdr:row>56</xdr:row>
          <xdr:rowOff>257175</xdr:rowOff>
        </xdr:to>
        <xdr:sp macro="" textlink="">
          <xdr:nvSpPr>
            <xdr:cNvPr id="5565" name="Button 1469" hidden="1">
              <a:extLst>
                <a:ext uri="{63B3BB69-23CF-44E3-9099-C40C66FF867C}">
                  <a14:compatExt spid="_x0000_s556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Use Default Values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38100</xdr:colOff>
          <xdr:row>43</xdr:row>
          <xdr:rowOff>38100</xdr:rowOff>
        </xdr:from>
        <xdr:to>
          <xdr:col>2</xdr:col>
          <xdr:colOff>962025</xdr:colOff>
          <xdr:row>44</xdr:row>
          <xdr:rowOff>9525</xdr:rowOff>
        </xdr:to>
        <xdr:sp macro="" textlink="">
          <xdr:nvSpPr>
            <xdr:cNvPr id="5599" name="Button 1503" hidden="1">
              <a:extLst>
                <a:ext uri="{63B3BB69-23CF-44E3-9099-C40C66FF867C}">
                  <a14:compatExt spid="_x0000_s559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Clear Test Data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1</xdr:row>
          <xdr:rowOff>28575</xdr:rowOff>
        </xdr:from>
        <xdr:to>
          <xdr:col>0</xdr:col>
          <xdr:colOff>1447800</xdr:colOff>
          <xdr:row>2</xdr:row>
          <xdr:rowOff>295275</xdr:rowOff>
        </xdr:to>
        <xdr:sp macro="" textlink="">
          <xdr:nvSpPr>
            <xdr:cNvPr id="5607" name="Button 1511" hidden="1">
              <a:extLst>
                <a:ext uri="{63B3BB69-23CF-44E3-9099-C40C66FF867C}">
                  <a14:compatExt spid="_x0000_s560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Arial"/>
                  <a:cs typeface="Arial"/>
                </a:rPr>
                <a:t>Reset all Inputs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M189"/>
  <sheetViews>
    <sheetView showGridLines="0" tabSelected="1" showRuler="0" zoomScaleNormal="100" workbookViewId="0">
      <selection activeCell="C4" sqref="C4"/>
    </sheetView>
  </sheetViews>
  <sheetFormatPr defaultRowHeight="12.75" x14ac:dyDescent="0.2"/>
  <cols>
    <col min="1" max="1" width="29.140625" style="18" customWidth="1"/>
    <col min="2" max="2" width="11.28515625" style="18" customWidth="1"/>
    <col min="3" max="3" width="14.5703125" style="18" customWidth="1"/>
    <col min="4" max="4" width="14.28515625" style="18" customWidth="1"/>
    <col min="5" max="5" width="13.5703125" style="18" customWidth="1"/>
    <col min="6" max="7" width="19.85546875" style="18" customWidth="1"/>
    <col min="8" max="8" width="16" style="18" customWidth="1"/>
    <col min="9" max="9" width="13.28515625" style="18" customWidth="1"/>
    <col min="10" max="10" width="0.85546875" style="18" customWidth="1"/>
    <col min="11" max="11" width="16.85546875" style="18" customWidth="1"/>
    <col min="12" max="12" width="11.28515625" style="18" customWidth="1"/>
    <col min="13" max="16384" width="9.140625" style="18"/>
  </cols>
  <sheetData>
    <row r="1" spans="1:13" ht="201" customHeight="1" x14ac:dyDescent="0.3">
      <c r="A1" s="6" t="s">
        <v>34</v>
      </c>
      <c r="F1" s="6"/>
      <c r="H1" s="141"/>
      <c r="I1" s="21"/>
    </row>
    <row r="2" spans="1:13" ht="15" customHeight="1" x14ac:dyDescent="0.25">
      <c r="B2" s="4" t="s">
        <v>60</v>
      </c>
      <c r="C2" s="106" t="s">
        <v>68</v>
      </c>
      <c r="F2" s="19"/>
      <c r="G2" s="21"/>
      <c r="H2" s="21"/>
      <c r="I2" s="21"/>
    </row>
    <row r="3" spans="1:13" ht="61.5" customHeight="1" x14ac:dyDescent="0.2">
      <c r="C3" s="4"/>
      <c r="G3" s="111"/>
      <c r="H3" s="21"/>
      <c r="I3" s="109"/>
      <c r="J3" s="105"/>
      <c r="K3" s="105"/>
      <c r="M3" s="21"/>
    </row>
    <row r="4" spans="1:13" ht="15" customHeight="1" x14ac:dyDescent="0.25">
      <c r="B4" s="4" t="s">
        <v>92</v>
      </c>
      <c r="C4" s="165" t="s">
        <v>115</v>
      </c>
      <c r="F4" s="21"/>
      <c r="G4" s="111"/>
      <c r="H4" s="21"/>
      <c r="I4" s="109"/>
      <c r="J4" s="105"/>
      <c r="K4" s="105"/>
      <c r="M4" s="21"/>
    </row>
    <row r="5" spans="1:13" ht="15" customHeight="1" x14ac:dyDescent="0.2">
      <c r="B5" s="4"/>
      <c r="C5" s="4"/>
      <c r="G5" s="111"/>
      <c r="H5" s="21"/>
      <c r="I5" s="109"/>
      <c r="J5" s="105"/>
      <c r="K5" s="105"/>
      <c r="M5" s="21"/>
    </row>
    <row r="6" spans="1:13" ht="13.5" customHeight="1" x14ac:dyDescent="0.25">
      <c r="B6" s="4" t="s">
        <v>84</v>
      </c>
      <c r="C6" s="178">
        <v>41826</v>
      </c>
      <c r="D6" s="178"/>
      <c r="E6" s="178"/>
      <c r="G6" s="111"/>
      <c r="H6" s="21"/>
      <c r="I6" s="109"/>
      <c r="J6" s="105"/>
      <c r="K6" s="105"/>
      <c r="M6" s="21"/>
    </row>
    <row r="7" spans="1:13" ht="27" customHeight="1" x14ac:dyDescent="0.25">
      <c r="C7" s="142" t="s">
        <v>79</v>
      </c>
      <c r="G7" s="155"/>
      <c r="H7" s="109"/>
      <c r="I7" s="109"/>
      <c r="J7" s="105"/>
      <c r="K7" s="105"/>
      <c r="M7" s="21"/>
    </row>
    <row r="8" spans="1:13" ht="15" x14ac:dyDescent="0.25">
      <c r="B8" s="4" t="s">
        <v>33</v>
      </c>
      <c r="C8" s="180" t="s">
        <v>94</v>
      </c>
      <c r="D8" s="180"/>
      <c r="E8" s="180"/>
      <c r="G8" s="111"/>
      <c r="H8" s="109"/>
      <c r="I8" s="109"/>
      <c r="J8" s="105"/>
      <c r="K8" s="105"/>
      <c r="M8" s="97"/>
    </row>
    <row r="9" spans="1:13" ht="15" x14ac:dyDescent="0.25">
      <c r="B9" s="4" t="s">
        <v>71</v>
      </c>
      <c r="C9" s="180" t="s">
        <v>95</v>
      </c>
      <c r="D9" s="180"/>
      <c r="E9" s="180"/>
      <c r="F9" s="21"/>
      <c r="G9" s="21"/>
      <c r="H9" s="21"/>
      <c r="I9" s="21"/>
    </row>
    <row r="10" spans="1:13" ht="15" customHeight="1" x14ac:dyDescent="0.25">
      <c r="B10" s="4" t="s">
        <v>86</v>
      </c>
      <c r="C10" s="180" t="s">
        <v>96</v>
      </c>
      <c r="D10" s="180"/>
      <c r="E10" s="180"/>
      <c r="F10" s="21"/>
      <c r="G10" s="21"/>
      <c r="H10" s="149"/>
      <c r="I10" s="21"/>
    </row>
    <row r="11" spans="1:13" ht="15" x14ac:dyDescent="0.25">
      <c r="A11" s="19"/>
      <c r="B11" s="4" t="s">
        <v>2</v>
      </c>
      <c r="C11" s="180" t="s">
        <v>97</v>
      </c>
      <c r="D11" s="180"/>
      <c r="E11" s="180"/>
      <c r="F11" s="21"/>
      <c r="G11" s="21"/>
      <c r="H11" s="21"/>
      <c r="I11" s="21"/>
    </row>
    <row r="12" spans="1:13" ht="15" x14ac:dyDescent="0.25">
      <c r="A12" s="19"/>
      <c r="B12" s="4" t="s">
        <v>1</v>
      </c>
      <c r="C12" s="180" t="s">
        <v>98</v>
      </c>
      <c r="D12" s="180"/>
      <c r="E12" s="180"/>
      <c r="G12" s="21"/>
      <c r="H12" s="21"/>
      <c r="I12" s="21"/>
    </row>
    <row r="13" spans="1:13" hidden="1" x14ac:dyDescent="0.2">
      <c r="A13" s="19"/>
      <c r="C13" s="105"/>
      <c r="D13" s="105"/>
      <c r="E13" s="105"/>
      <c r="F13" s="21"/>
      <c r="G13" s="145">
        <v>1</v>
      </c>
      <c r="H13" s="21" t="str">
        <f>IF(G13=1,"Total Duct Leakage","Duct Leakage to Outdoors")</f>
        <v>Total Duct Leakage</v>
      </c>
      <c r="I13" s="21"/>
    </row>
    <row r="14" spans="1:13" hidden="1" x14ac:dyDescent="0.2">
      <c r="A14" s="19"/>
      <c r="C14" s="105"/>
      <c r="D14" s="105"/>
      <c r="E14" s="105"/>
      <c r="G14" s="21"/>
      <c r="H14" s="152" t="str">
        <f>IF(C39="(Enter Flow directly)","Flow", "Fan Pressure + Range Config")</f>
        <v>Flow</v>
      </c>
      <c r="I14" s="152" t="str">
        <f>IF(D39="(Enter Flow directly)","Flow", "Fan Pressure + Range Config")</f>
        <v>Fan Pressure + Range Config</v>
      </c>
    </row>
    <row r="15" spans="1:13" hidden="1" x14ac:dyDescent="0.2">
      <c r="C15" s="105"/>
      <c r="D15" s="105"/>
      <c r="E15" s="105"/>
      <c r="F15" s="21"/>
      <c r="G15" s="145">
        <v>2</v>
      </c>
      <c r="H15" s="21" t="str">
        <f>IF(G15=1,"Depressurization",IF(G15=2,"Pressurization", IF(G15=3, "Two Directions","")))</f>
        <v>Pressurization</v>
      </c>
      <c r="I15" s="21"/>
    </row>
    <row r="16" spans="1:13" hidden="1" x14ac:dyDescent="0.2">
      <c r="A16" s="19"/>
      <c r="B16" s="4"/>
      <c r="F16" s="21"/>
      <c r="G16" s="21"/>
      <c r="H16" s="149">
        <f>(MID(C4,1,2)*1)</f>
        <v>25</v>
      </c>
      <c r="I16" s="21"/>
    </row>
    <row r="17" spans="1:9" ht="27" customHeight="1" x14ac:dyDescent="0.25">
      <c r="A17" s="19"/>
      <c r="B17" s="4"/>
      <c r="C17" s="142" t="s">
        <v>66</v>
      </c>
      <c r="F17" s="21"/>
      <c r="G17" s="21"/>
      <c r="H17" s="21"/>
      <c r="I17" s="21"/>
    </row>
    <row r="18" spans="1:9" ht="15" x14ac:dyDescent="0.25">
      <c r="B18" s="4" t="s">
        <v>0</v>
      </c>
      <c r="C18" s="181" t="s">
        <v>99</v>
      </c>
      <c r="D18" s="181"/>
      <c r="E18" s="181"/>
      <c r="F18" s="21"/>
      <c r="G18" s="21"/>
      <c r="H18" s="166"/>
      <c r="I18" s="21"/>
    </row>
    <row r="19" spans="1:9" ht="15" x14ac:dyDescent="0.25">
      <c r="B19" s="4" t="s">
        <v>72</v>
      </c>
      <c r="C19" s="180" t="s">
        <v>104</v>
      </c>
      <c r="D19" s="180"/>
      <c r="E19" s="180"/>
      <c r="G19" s="21"/>
      <c r="H19" s="21"/>
      <c r="I19" s="21"/>
    </row>
    <row r="20" spans="1:9" ht="15" x14ac:dyDescent="0.25">
      <c r="B20" s="4" t="s">
        <v>87</v>
      </c>
      <c r="C20" s="179" t="s">
        <v>100</v>
      </c>
      <c r="D20" s="179"/>
      <c r="E20" s="179"/>
      <c r="G20" s="21"/>
      <c r="H20" s="21"/>
      <c r="I20" s="21"/>
    </row>
    <row r="21" spans="1:9" ht="15" x14ac:dyDescent="0.25">
      <c r="B21" s="4" t="s">
        <v>67</v>
      </c>
      <c r="C21" s="179" t="s">
        <v>103</v>
      </c>
      <c r="D21" s="179"/>
      <c r="E21" s="179"/>
      <c r="G21" s="21"/>
      <c r="H21" s="21"/>
      <c r="I21" s="21"/>
    </row>
    <row r="22" spans="1:9" ht="15" x14ac:dyDescent="0.25">
      <c r="B22" s="4" t="s">
        <v>1</v>
      </c>
      <c r="C22" s="179" t="s">
        <v>101</v>
      </c>
      <c r="D22" s="179"/>
      <c r="E22" s="179"/>
      <c r="F22" s="21"/>
      <c r="I22" s="21"/>
    </row>
    <row r="23" spans="1:9" x14ac:dyDescent="0.2">
      <c r="B23" s="4"/>
      <c r="F23" s="21"/>
      <c r="I23" s="21"/>
    </row>
    <row r="24" spans="1:9" ht="16.5" x14ac:dyDescent="0.25">
      <c r="B24" s="4"/>
      <c r="C24" s="142" t="s">
        <v>85</v>
      </c>
      <c r="F24" s="21"/>
      <c r="I24" s="21"/>
    </row>
    <row r="25" spans="1:9" ht="15" x14ac:dyDescent="0.25">
      <c r="B25" s="4" t="s">
        <v>107</v>
      </c>
      <c r="C25" s="179">
        <v>300</v>
      </c>
      <c r="D25" s="179"/>
      <c r="E25" s="179"/>
      <c r="F25" s="21"/>
      <c r="I25" s="21"/>
    </row>
    <row r="26" spans="1:9" ht="15" x14ac:dyDescent="0.25">
      <c r="B26" s="4" t="s">
        <v>65</v>
      </c>
      <c r="C26" s="180">
        <v>203460</v>
      </c>
      <c r="D26" s="180"/>
      <c r="E26" s="180"/>
      <c r="F26" s="21"/>
      <c r="I26" s="21"/>
    </row>
    <row r="27" spans="1:9" ht="15" x14ac:dyDescent="0.25">
      <c r="B27" s="4" t="s">
        <v>74</v>
      </c>
      <c r="C27" s="180" t="s">
        <v>102</v>
      </c>
      <c r="D27" s="180"/>
      <c r="E27" s="180"/>
      <c r="F27" s="21"/>
      <c r="I27" s="21"/>
    </row>
    <row r="28" spans="1:9" x14ac:dyDescent="0.2">
      <c r="B28" s="4"/>
      <c r="F28" s="113"/>
      <c r="I28" s="21"/>
    </row>
    <row r="29" spans="1:9" ht="24.75" customHeight="1" x14ac:dyDescent="0.25">
      <c r="C29" s="143" t="s">
        <v>62</v>
      </c>
      <c r="F29" s="21"/>
      <c r="I29" s="21"/>
    </row>
    <row r="30" spans="1:9" ht="15" x14ac:dyDescent="0.25">
      <c r="B30" s="4" t="s">
        <v>58</v>
      </c>
      <c r="C30" s="154">
        <v>513</v>
      </c>
      <c r="F30" s="21"/>
      <c r="I30" s="21"/>
    </row>
    <row r="31" spans="1:9" ht="15" x14ac:dyDescent="0.25">
      <c r="B31" s="4" t="s">
        <v>46</v>
      </c>
      <c r="C31" s="75">
        <v>600</v>
      </c>
      <c r="F31" s="21"/>
      <c r="I31" s="21"/>
    </row>
    <row r="32" spans="1:9" ht="15" hidden="1" x14ac:dyDescent="0.25">
      <c r="B32" s="4" t="s">
        <v>44</v>
      </c>
      <c r="C32" s="103">
        <v>0.6</v>
      </c>
      <c r="F32" s="21"/>
      <c r="I32" s="21"/>
    </row>
    <row r="33" spans="1:9" ht="19.5" hidden="1" customHeight="1" x14ac:dyDescent="0.2">
      <c r="A33" s="21"/>
      <c r="B33" s="4"/>
      <c r="C33" s="70"/>
      <c r="F33" s="21"/>
      <c r="I33" s="21"/>
    </row>
    <row r="34" spans="1:9" ht="15" hidden="1" x14ac:dyDescent="0.25">
      <c r="B34" s="4" t="s">
        <v>63</v>
      </c>
      <c r="C34" s="110"/>
      <c r="D34" s="80"/>
      <c r="I34" s="21"/>
    </row>
    <row r="35" spans="1:9" ht="61.5" customHeight="1" x14ac:dyDescent="0.2">
      <c r="C35" s="107"/>
      <c r="D35" s="107"/>
      <c r="E35" s="107"/>
      <c r="F35" s="107"/>
      <c r="I35" s="21"/>
    </row>
    <row r="36" spans="1:9" ht="11.25" customHeight="1" x14ac:dyDescent="0.2">
      <c r="B36" s="4"/>
      <c r="D36" s="107"/>
      <c r="E36" s="107"/>
      <c r="F36" s="107"/>
      <c r="I36" s="21"/>
    </row>
    <row r="37" spans="1:9" ht="14.25" customHeight="1" thickBot="1" x14ac:dyDescent="0.25">
      <c r="B37" s="4"/>
      <c r="C37" s="172" t="str">
        <f>IF(H15="Depressurization", "Depressurization", IF(H15="Pressurization", "Pressurization", IF(C38&gt;0, "Pressurization", IF(C38&lt;0, "Depressurization","Enter Data:"))))</f>
        <v>Pressurization</v>
      </c>
      <c r="E37" s="107"/>
      <c r="F37" s="107"/>
      <c r="I37" s="21"/>
    </row>
    <row r="38" spans="1:9" ht="15" x14ac:dyDescent="0.2">
      <c r="B38" s="173" t="str">
        <f>IF(H13="Total Duct Leakage","Duct Pressure", IF(H13="Duct Leakage to Outdoors", "Duct Pressure (relative to outdoors)"))</f>
        <v>Duct Pressure</v>
      </c>
      <c r="C38" s="156">
        <v>-25</v>
      </c>
      <c r="I38" s="21"/>
    </row>
    <row r="39" spans="1:9" x14ac:dyDescent="0.2">
      <c r="B39" s="174" t="s">
        <v>89</v>
      </c>
      <c r="C39" s="176" t="s">
        <v>106</v>
      </c>
      <c r="I39" s="21"/>
    </row>
    <row r="40" spans="1:9" ht="15" hidden="1" x14ac:dyDescent="0.2">
      <c r="B40" s="173" t="s">
        <v>22</v>
      </c>
      <c r="C40" s="157"/>
      <c r="E40" s="81"/>
      <c r="F40" s="81"/>
      <c r="I40" s="21"/>
    </row>
    <row r="41" spans="1:9" ht="15" hidden="1" customHeight="1" x14ac:dyDescent="0.2">
      <c r="B41" s="4"/>
      <c r="C41" s="158"/>
      <c r="E41" s="82"/>
      <c r="F41" s="82"/>
      <c r="I41" s="21"/>
    </row>
    <row r="42" spans="1:9" ht="15.75" customHeight="1" thickBot="1" x14ac:dyDescent="0.3">
      <c r="B42" s="4" t="s">
        <v>90</v>
      </c>
      <c r="C42" s="159">
        <v>175.6</v>
      </c>
      <c r="E42" s="83"/>
      <c r="F42" s="83"/>
      <c r="H42" s="146"/>
      <c r="I42" s="21"/>
    </row>
    <row r="43" spans="1:9" ht="15.75" hidden="1" thickBot="1" x14ac:dyDescent="0.3">
      <c r="B43" s="4" t="s">
        <v>88</v>
      </c>
      <c r="C43" s="175">
        <f>F90</f>
        <v>175.6</v>
      </c>
      <c r="E43" s="83"/>
      <c r="F43" s="83"/>
      <c r="H43" s="146"/>
      <c r="I43" s="21"/>
    </row>
    <row r="44" spans="1:9" ht="22.5" customHeight="1" x14ac:dyDescent="0.25">
      <c r="B44" s="4"/>
      <c r="C44" s="84"/>
      <c r="E44" s="83"/>
      <c r="F44" s="83"/>
      <c r="I44" s="21"/>
    </row>
    <row r="45" spans="1:9" ht="39" customHeight="1" x14ac:dyDescent="0.25">
      <c r="B45" s="4"/>
      <c r="C45" s="143" t="s">
        <v>105</v>
      </c>
      <c r="I45" s="21"/>
    </row>
    <row r="46" spans="1:9" ht="15" x14ac:dyDescent="0.25">
      <c r="B46" s="4" t="s">
        <v>52</v>
      </c>
      <c r="C46" s="144">
        <v>0.6</v>
      </c>
      <c r="D46" s="71"/>
      <c r="E46" s="21"/>
      <c r="I46" s="21"/>
    </row>
    <row r="47" spans="1:9" ht="15" x14ac:dyDescent="0.25">
      <c r="B47" s="4" t="s">
        <v>54</v>
      </c>
      <c r="C47" s="74">
        <v>1100</v>
      </c>
      <c r="D47" s="71"/>
      <c r="E47" s="21"/>
      <c r="I47" s="21"/>
    </row>
    <row r="48" spans="1:9" ht="15" x14ac:dyDescent="0.25">
      <c r="B48" s="4" t="s">
        <v>55</v>
      </c>
      <c r="C48" s="74">
        <v>1500</v>
      </c>
      <c r="D48" s="71"/>
      <c r="E48" s="21" t="s">
        <v>59</v>
      </c>
      <c r="I48" s="21"/>
    </row>
    <row r="49" spans="1:12" ht="15" x14ac:dyDescent="0.25">
      <c r="B49" s="4" t="s">
        <v>56</v>
      </c>
      <c r="C49" s="75">
        <v>10</v>
      </c>
      <c r="D49" s="71"/>
      <c r="E49" s="21"/>
      <c r="I49" s="21"/>
    </row>
    <row r="50" spans="1:12" x14ac:dyDescent="0.2">
      <c r="B50" s="4"/>
      <c r="D50" s="71"/>
      <c r="I50" s="21"/>
    </row>
    <row r="51" spans="1:12" ht="13.5" thickBot="1" x14ac:dyDescent="0.25">
      <c r="B51" s="4"/>
      <c r="C51" s="85" t="s">
        <v>47</v>
      </c>
      <c r="D51" s="69" t="s">
        <v>48</v>
      </c>
      <c r="I51" s="21"/>
    </row>
    <row r="52" spans="1:12" ht="15" x14ac:dyDescent="0.25">
      <c r="B52" s="4" t="s">
        <v>77</v>
      </c>
      <c r="C52" s="76">
        <v>25</v>
      </c>
      <c r="D52" s="77">
        <v>25</v>
      </c>
      <c r="I52" s="21"/>
    </row>
    <row r="53" spans="1:12" ht="15" x14ac:dyDescent="0.25">
      <c r="B53" s="4" t="s">
        <v>49</v>
      </c>
      <c r="C53" s="72">
        <f>IF(C52="","",(C52/H16)^0.6)</f>
        <v>1</v>
      </c>
      <c r="D53" s="73">
        <f>IF(D52="","",(D52/H16)^0.6)</f>
        <v>1</v>
      </c>
      <c r="I53" s="21"/>
    </row>
    <row r="54" spans="1:12" ht="15" x14ac:dyDescent="0.25">
      <c r="B54" s="4" t="s">
        <v>50</v>
      </c>
      <c r="C54" s="78">
        <v>0.5</v>
      </c>
      <c r="D54" s="79">
        <v>0.5</v>
      </c>
      <c r="I54" s="21"/>
    </row>
    <row r="55" spans="1:12" ht="15.75" thickBot="1" x14ac:dyDescent="0.3">
      <c r="B55" s="4" t="s">
        <v>51</v>
      </c>
      <c r="C55" s="163">
        <v>1</v>
      </c>
      <c r="D55" s="164">
        <v>0.5</v>
      </c>
      <c r="I55" s="21"/>
    </row>
    <row r="56" spans="1:12" ht="15.75" thickBot="1" x14ac:dyDescent="0.3">
      <c r="A56" s="21"/>
      <c r="B56" s="4" t="s">
        <v>53</v>
      </c>
      <c r="C56" s="161">
        <f>IF(OR(C52="",C54="",C55=""),"",IFERROR(C53*C54*C55, ""))</f>
        <v>0.5</v>
      </c>
      <c r="D56" s="162">
        <f>IF(OR(D52="",D54="",D55=""),"",IFERROR(D53*D54*D55, ""))</f>
        <v>0.25</v>
      </c>
      <c r="I56" s="21"/>
    </row>
    <row r="57" spans="1:12" ht="352.5" customHeight="1" x14ac:dyDescent="0.2">
      <c r="I57" s="21"/>
    </row>
    <row r="58" spans="1:12" ht="30.75" customHeight="1" x14ac:dyDescent="0.3">
      <c r="A58" s="6" t="s">
        <v>76</v>
      </c>
      <c r="B58" s="4"/>
      <c r="C58" s="19"/>
      <c r="E58" s="19"/>
      <c r="F58" s="19"/>
      <c r="G58" s="19"/>
      <c r="H58" s="19"/>
      <c r="I58" s="7"/>
      <c r="J58" s="19"/>
    </row>
    <row r="59" spans="1:12" x14ac:dyDescent="0.2">
      <c r="A59" s="57"/>
      <c r="B59" s="57"/>
      <c r="C59" s="57"/>
      <c r="D59" s="57"/>
      <c r="E59" s="57"/>
      <c r="F59" s="57"/>
      <c r="G59" s="57"/>
      <c r="H59" s="57"/>
      <c r="I59" s="57"/>
      <c r="J59" s="57"/>
      <c r="K59" s="58"/>
      <c r="L59" s="94"/>
    </row>
    <row r="60" spans="1:12" ht="31.5" customHeight="1" x14ac:dyDescent="0.25">
      <c r="A60" s="57"/>
      <c r="B60" s="1"/>
      <c r="C60" s="1"/>
      <c r="D60" s="1"/>
      <c r="E60" s="1"/>
      <c r="F60" s="1"/>
      <c r="G60" s="1"/>
      <c r="H60" s="1"/>
      <c r="I60" s="148"/>
      <c r="J60" s="148" t="str">
        <f>IF(C6="","","Test Date: "&amp;TEXT(C6,"yyyy-mm-dd"))</f>
        <v>Test Date: 2014-07-06</v>
      </c>
      <c r="K60" s="58"/>
      <c r="L60" s="94"/>
    </row>
    <row r="61" spans="1:12" ht="37.5" customHeight="1" x14ac:dyDescent="0.45">
      <c r="A61" s="57"/>
      <c r="B61" s="188" t="s">
        <v>20</v>
      </c>
      <c r="C61" s="188"/>
      <c r="D61" s="188"/>
      <c r="E61" s="188"/>
      <c r="F61" s="188"/>
      <c r="G61" s="188"/>
      <c r="H61" s="188"/>
      <c r="I61" s="188"/>
      <c r="J61" s="188"/>
      <c r="K61" s="58"/>
      <c r="L61" s="94"/>
    </row>
    <row r="62" spans="1:12" ht="27.75" customHeight="1" x14ac:dyDescent="0.45">
      <c r="A62" s="57"/>
      <c r="B62" s="188" t="s">
        <v>21</v>
      </c>
      <c r="C62" s="188"/>
      <c r="D62" s="188"/>
      <c r="E62" s="188"/>
      <c r="F62" s="188"/>
      <c r="G62" s="188"/>
      <c r="H62" s="188"/>
      <c r="I62" s="188"/>
      <c r="J62" s="188"/>
      <c r="K62" s="58"/>
      <c r="L62" s="94"/>
    </row>
    <row r="63" spans="1:12" ht="12" customHeight="1" x14ac:dyDescent="0.2">
      <c r="A63" s="58"/>
      <c r="B63" s="1"/>
      <c r="C63" s="1"/>
      <c r="D63" s="3"/>
      <c r="E63" s="1"/>
      <c r="F63" s="1"/>
      <c r="G63" s="1"/>
      <c r="H63" s="4"/>
      <c r="I63" s="2"/>
      <c r="J63" s="1"/>
      <c r="K63" s="59"/>
      <c r="L63" s="94"/>
    </row>
    <row r="64" spans="1:12" ht="13.5" x14ac:dyDescent="0.2">
      <c r="A64" s="58"/>
      <c r="B64" s="1"/>
      <c r="D64" s="125"/>
      <c r="E64" s="126" t="s">
        <v>79</v>
      </c>
      <c r="F64" s="125"/>
      <c r="G64" s="127"/>
      <c r="H64" s="126" t="s">
        <v>66</v>
      </c>
      <c r="I64" s="1"/>
      <c r="J64" s="1"/>
      <c r="K64" s="58"/>
      <c r="L64" s="94"/>
    </row>
    <row r="65" spans="1:12" ht="15.95" customHeight="1" x14ac:dyDescent="0.2">
      <c r="A65" s="58"/>
      <c r="B65" s="1"/>
      <c r="D65" s="127" t="str">
        <f>B8</f>
        <v>Building Description</v>
      </c>
      <c r="E65" s="128" t="str">
        <f>IF(C8="","", C8)</f>
        <v>John Smith's House</v>
      </c>
      <c r="F65" s="125"/>
      <c r="G65" s="127" t="str">
        <f>B18</f>
        <v>Company</v>
      </c>
      <c r="H65" s="129" t="str">
        <f>IF(C18="","", C18)</f>
        <v>Duct Testing Company</v>
      </c>
      <c r="I65" s="1"/>
      <c r="J65" s="1"/>
      <c r="K65" s="58"/>
      <c r="L65" s="94"/>
    </row>
    <row r="66" spans="1:12" ht="15.95" customHeight="1" x14ac:dyDescent="0.2">
      <c r="A66" s="58"/>
      <c r="B66" s="1"/>
      <c r="D66" s="127" t="s">
        <v>80</v>
      </c>
      <c r="E66" s="128" t="str">
        <f>IF(C9="","", C9)</f>
        <v>12345 Broadway Street</v>
      </c>
      <c r="F66" s="125"/>
      <c r="G66" s="127" t="s">
        <v>78</v>
      </c>
      <c r="H66" s="132" t="str">
        <f>IF(C19="","", C19)</f>
        <v>12345 Main Street</v>
      </c>
      <c r="I66" s="1"/>
      <c r="J66" s="1"/>
      <c r="K66" s="58"/>
      <c r="L66" s="94"/>
    </row>
    <row r="67" spans="1:12" ht="15.75" customHeight="1" x14ac:dyDescent="0.2">
      <c r="A67" s="58"/>
      <c r="B67" s="1"/>
      <c r="D67" s="127"/>
      <c r="E67" s="128" t="str">
        <f>IF(C10="","", C10)</f>
        <v>Everson, WA 98427</v>
      </c>
      <c r="F67" s="125"/>
      <c r="G67" s="127"/>
      <c r="H67" s="129" t="str">
        <f>IF(C20="","", C20)</f>
        <v>Everson, WA  98427</v>
      </c>
      <c r="I67" s="21"/>
      <c r="J67" s="1"/>
      <c r="K67" s="58"/>
      <c r="L67" s="94"/>
    </row>
    <row r="68" spans="1:12" ht="15.75" customHeight="1" x14ac:dyDescent="0.2">
      <c r="A68" s="58"/>
      <c r="B68" s="1"/>
      <c r="D68" s="127" t="str">
        <f>B11</f>
        <v>Contact</v>
      </c>
      <c r="E68" s="128" t="str">
        <f>IF(C11="","", C11)</f>
        <v>Deborah Smith</v>
      </c>
      <c r="F68" s="125"/>
      <c r="G68" s="127" t="str">
        <f>B21</f>
        <v>Technician</v>
      </c>
      <c r="H68" s="129" t="str">
        <f>IF(C21="","", C21)</f>
        <v>Colin Genge</v>
      </c>
      <c r="I68" s="1"/>
      <c r="J68" s="1"/>
      <c r="K68" s="58"/>
      <c r="L68" s="94"/>
    </row>
    <row r="69" spans="1:12" ht="15.75" customHeight="1" x14ac:dyDescent="0.2">
      <c r="A69" s="58"/>
      <c r="B69" s="1"/>
      <c r="D69" s="127" t="s">
        <v>1</v>
      </c>
      <c r="E69" s="128" t="str">
        <f>IF(C12="","", C12)</f>
        <v>(360) 123-4567</v>
      </c>
      <c r="F69" s="125"/>
      <c r="G69" s="127" t="str">
        <f>B22</f>
        <v>Phone</v>
      </c>
      <c r="H69" s="129" t="str">
        <f>IF(C22="","", C22)</f>
        <v>(360) 738-9835</v>
      </c>
      <c r="I69" s="1"/>
      <c r="J69" s="1"/>
      <c r="K69" s="58"/>
      <c r="L69" s="94"/>
    </row>
    <row r="70" spans="1:12" ht="33" customHeight="1" x14ac:dyDescent="0.2">
      <c r="A70" s="58"/>
      <c r="B70" s="1"/>
      <c r="D70" s="127" t="s">
        <v>70</v>
      </c>
      <c r="E70" s="128" t="str">
        <f>IF(C38="","", H13)</f>
        <v>Total Duct Leakage</v>
      </c>
      <c r="F70" s="130"/>
      <c r="G70" s="127" t="s">
        <v>69</v>
      </c>
      <c r="H70" s="147">
        <f>IF(C26="","", C26)</f>
        <v>203460</v>
      </c>
      <c r="J70" s="1"/>
      <c r="K70" s="58"/>
      <c r="L70" s="94"/>
    </row>
    <row r="71" spans="1:12" ht="15" customHeight="1" x14ac:dyDescent="0.3">
      <c r="A71" s="58"/>
      <c r="B71" s="112"/>
      <c r="C71" s="112"/>
      <c r="D71" s="127" t="s">
        <v>113</v>
      </c>
      <c r="E71" s="128">
        <f>IF(C25="","", C25)</f>
        <v>300</v>
      </c>
      <c r="F71" s="131"/>
      <c r="G71" s="127" t="s">
        <v>73</v>
      </c>
      <c r="H71" s="129" t="str">
        <f>IF(C27="","", C27)</f>
        <v>FN1002509</v>
      </c>
      <c r="I71" s="112"/>
      <c r="J71" s="112"/>
      <c r="K71" s="58"/>
      <c r="L71" s="94"/>
    </row>
    <row r="72" spans="1:12" ht="15" customHeight="1" x14ac:dyDescent="0.3">
      <c r="A72" s="58"/>
      <c r="B72" s="112"/>
      <c r="C72" s="112"/>
      <c r="D72" s="127"/>
      <c r="E72" s="128"/>
      <c r="F72" s="131"/>
      <c r="G72" s="127"/>
      <c r="H72" s="129"/>
      <c r="I72" s="112"/>
      <c r="J72" s="112"/>
      <c r="K72" s="58"/>
      <c r="L72" s="94"/>
    </row>
    <row r="73" spans="1:12" ht="17.25" customHeight="1" x14ac:dyDescent="0.3">
      <c r="A73" s="58"/>
      <c r="B73" s="112"/>
      <c r="C73" s="112"/>
      <c r="D73" s="127"/>
      <c r="E73" s="128"/>
      <c r="F73" s="131"/>
      <c r="G73" s="127"/>
      <c r="H73" s="129"/>
      <c r="I73" s="112"/>
      <c r="J73" s="112"/>
      <c r="K73" s="58"/>
      <c r="L73" s="94"/>
    </row>
    <row r="74" spans="1:12" ht="42" customHeight="1" x14ac:dyDescent="0.35">
      <c r="A74" s="58"/>
      <c r="B74" s="190" t="s">
        <v>81</v>
      </c>
      <c r="C74" s="190"/>
      <c r="D74" s="190"/>
      <c r="E74" s="190"/>
      <c r="F74" s="190"/>
      <c r="G74" s="190"/>
      <c r="H74" s="190"/>
      <c r="I74" s="190"/>
      <c r="J74" s="190"/>
      <c r="K74" s="58"/>
      <c r="L74" s="94"/>
    </row>
    <row r="75" spans="1:12" ht="29.25" customHeight="1" x14ac:dyDescent="0.3">
      <c r="A75" s="58"/>
      <c r="B75" s="9"/>
      <c r="C75" s="9"/>
      <c r="E75" s="87"/>
      <c r="F75" s="88" t="s">
        <v>58</v>
      </c>
      <c r="G75" s="89">
        <f>IF(C30="","", C30)</f>
        <v>513</v>
      </c>
      <c r="J75" s="9"/>
      <c r="K75" s="60"/>
      <c r="L75" s="94"/>
    </row>
    <row r="76" spans="1:12" ht="17.100000000000001" customHeight="1" x14ac:dyDescent="0.3">
      <c r="A76" s="58"/>
      <c r="B76" s="9"/>
      <c r="C76" s="9"/>
      <c r="E76" s="87"/>
      <c r="F76" s="88" t="s">
        <v>46</v>
      </c>
      <c r="G76" s="89">
        <f>IF(C31="","", C31)</f>
        <v>600</v>
      </c>
      <c r="J76" s="9"/>
      <c r="K76" s="60"/>
      <c r="L76" s="94"/>
    </row>
    <row r="77" spans="1:12" ht="17.25" customHeight="1" x14ac:dyDescent="0.3">
      <c r="A77" s="58"/>
      <c r="B77" s="9"/>
      <c r="C77" s="9"/>
      <c r="E77" s="87"/>
      <c r="F77" s="88"/>
      <c r="G77" s="150"/>
      <c r="H77" s="20"/>
      <c r="J77" s="9"/>
      <c r="K77" s="58"/>
      <c r="L77" s="94"/>
    </row>
    <row r="78" spans="1:12" ht="17.100000000000001" customHeight="1" x14ac:dyDescent="0.3">
      <c r="A78" s="58"/>
      <c r="B78" s="9"/>
      <c r="C78" s="9"/>
      <c r="E78" s="88"/>
      <c r="F78" s="88" t="s">
        <v>91</v>
      </c>
      <c r="G78" s="151">
        <f>IF(ISNUMBER(C46), C46, "")</f>
        <v>0.6</v>
      </c>
      <c r="H78" s="99"/>
      <c r="J78" s="9"/>
      <c r="K78" s="58"/>
      <c r="L78" s="94"/>
    </row>
    <row r="79" spans="1:12" ht="5.25" customHeight="1" x14ac:dyDescent="0.3">
      <c r="A79" s="58"/>
      <c r="B79" s="9"/>
      <c r="C79" s="9"/>
      <c r="E79" s="88"/>
      <c r="F79" s="88"/>
      <c r="G79" s="90"/>
      <c r="H79" s="99"/>
      <c r="J79" s="9"/>
      <c r="K79" s="58"/>
      <c r="L79" s="94"/>
    </row>
    <row r="80" spans="1:12" ht="18.75" customHeight="1" x14ac:dyDescent="0.3">
      <c r="A80" s="58"/>
      <c r="B80" s="9"/>
      <c r="C80" s="9"/>
      <c r="E80" s="88"/>
      <c r="F80" s="118" t="s">
        <v>47</v>
      </c>
      <c r="G80" s="118" t="s">
        <v>48</v>
      </c>
      <c r="H80" s="99"/>
      <c r="J80" s="9"/>
      <c r="K80" s="58"/>
      <c r="L80" s="94"/>
    </row>
    <row r="81" spans="1:12" ht="17.100000000000001" customHeight="1" x14ac:dyDescent="0.3">
      <c r="A81" s="58"/>
      <c r="B81" s="9"/>
      <c r="C81" s="9"/>
      <c r="E81" s="88" t="s">
        <v>77</v>
      </c>
      <c r="F81" s="133">
        <f>C52</f>
        <v>25</v>
      </c>
      <c r="G81" s="91">
        <f>D52</f>
        <v>25</v>
      </c>
      <c r="H81" s="99"/>
      <c r="J81" s="9"/>
      <c r="K81" s="58"/>
      <c r="L81" s="94"/>
    </row>
    <row r="82" spans="1:12" ht="17.100000000000001" customHeight="1" x14ac:dyDescent="0.3">
      <c r="A82" s="58"/>
      <c r="B82" s="9"/>
      <c r="C82" s="9"/>
      <c r="E82" s="88" t="s">
        <v>50</v>
      </c>
      <c r="F82" s="134">
        <f>IF(C54=0,"",C54)</f>
        <v>0.5</v>
      </c>
      <c r="G82" s="134">
        <f>IF(D54=0,"",D54)</f>
        <v>0.5</v>
      </c>
      <c r="H82" s="99"/>
      <c r="J82" s="9"/>
      <c r="K82" s="58"/>
      <c r="L82" s="94"/>
    </row>
    <row r="83" spans="1:12" ht="17.100000000000001" customHeight="1" x14ac:dyDescent="0.3">
      <c r="A83" s="58"/>
      <c r="B83" s="9"/>
      <c r="C83" s="9"/>
      <c r="E83" s="88" t="s">
        <v>51</v>
      </c>
      <c r="F83" s="134">
        <f>C55</f>
        <v>1</v>
      </c>
      <c r="G83" s="134">
        <f>D55</f>
        <v>0.5</v>
      </c>
      <c r="H83" s="99"/>
      <c r="J83" s="9"/>
      <c r="K83" s="58"/>
      <c r="L83" s="94"/>
    </row>
    <row r="84" spans="1:12" ht="38.1" customHeight="1" x14ac:dyDescent="0.35">
      <c r="A84" s="58"/>
      <c r="B84" s="190" t="s">
        <v>82</v>
      </c>
      <c r="C84" s="190"/>
      <c r="D84" s="190"/>
      <c r="E84" s="190"/>
      <c r="F84" s="190"/>
      <c r="G84" s="190"/>
      <c r="H84" s="190"/>
      <c r="I84" s="190"/>
      <c r="J84" s="190"/>
      <c r="K84" s="58"/>
      <c r="L84" s="94"/>
    </row>
    <row r="85" spans="1:12" ht="24" hidden="1" customHeight="1" x14ac:dyDescent="0.3">
      <c r="A85" s="58"/>
      <c r="B85" s="52"/>
      <c r="C85" s="52"/>
      <c r="D85" s="52"/>
      <c r="E85" s="88" t="s">
        <v>63</v>
      </c>
      <c r="F85" s="160" t="str">
        <f>IF(C34&lt;&gt;0,C34, "")</f>
        <v/>
      </c>
      <c r="G85" s="108"/>
      <c r="H85" s="100"/>
      <c r="I85" s="52"/>
      <c r="J85" s="52"/>
      <c r="K85" s="58"/>
      <c r="L85" s="94"/>
    </row>
    <row r="86" spans="1:12" ht="27" customHeight="1" x14ac:dyDescent="0.3">
      <c r="A86" s="58"/>
      <c r="B86" s="9"/>
      <c r="D86" s="4"/>
      <c r="E86" s="87"/>
      <c r="F86" s="68" t="str">
        <f>IF(C37="Enter Data:","", C37)</f>
        <v>Pressurization</v>
      </c>
      <c r="G86" s="67"/>
      <c r="H86" s="101"/>
      <c r="I86" s="42"/>
      <c r="J86" s="9"/>
      <c r="K86" s="58"/>
      <c r="L86" s="94"/>
    </row>
    <row r="87" spans="1:12" ht="25.5" customHeight="1" x14ac:dyDescent="0.3">
      <c r="A87" s="58"/>
      <c r="B87" s="9"/>
      <c r="E87" s="88" t="s">
        <v>114</v>
      </c>
      <c r="F87" s="91">
        <f>IF(C38="","", C38-C34)</f>
        <v>-25</v>
      </c>
      <c r="G87" s="91"/>
      <c r="H87" s="102"/>
      <c r="I87" s="42"/>
      <c r="J87" s="9"/>
      <c r="K87" s="58"/>
      <c r="L87" s="94"/>
    </row>
    <row r="88" spans="1:12" ht="17.100000000000001" hidden="1" customHeight="1" x14ac:dyDescent="0.3">
      <c r="A88" s="58"/>
      <c r="B88" s="9"/>
      <c r="E88" s="88" t="s">
        <v>22</v>
      </c>
      <c r="F88" s="91" t="str">
        <f>IF(C40="","", C40)</f>
        <v/>
      </c>
      <c r="G88" s="91"/>
      <c r="H88" s="121"/>
      <c r="I88" s="42"/>
      <c r="J88" s="9"/>
      <c r="K88" s="60"/>
      <c r="L88" s="94"/>
    </row>
    <row r="89" spans="1:12" ht="17.100000000000001" hidden="1" customHeight="1" x14ac:dyDescent="0.3">
      <c r="A89" s="58"/>
      <c r="B89" s="9"/>
      <c r="E89" s="88" t="s">
        <v>23</v>
      </c>
      <c r="F89" s="92" t="str">
        <f>IF(C39="","", C39)</f>
        <v>(Enter Flow directly)</v>
      </c>
      <c r="G89" s="92"/>
      <c r="H89" s="122"/>
      <c r="I89" s="20"/>
      <c r="J89" s="9"/>
      <c r="K89" s="58"/>
      <c r="L89" s="95"/>
    </row>
    <row r="90" spans="1:12" ht="17.100000000000001" customHeight="1" x14ac:dyDescent="0.3">
      <c r="A90" s="58"/>
      <c r="B90" s="9"/>
      <c r="E90" s="88" t="s">
        <v>20</v>
      </c>
      <c r="F90" s="177">
        <f>IFERROR(IF(H$14="Flow",  IF(C42="","",C42),
IF(AND(F88&gt;=INDEX(I131:I143, MATCH(F89,C131:C144,0)),F88&gt;=F87*INDEX(G131:G143, MATCH(F89,C131:C144,0)),F88&gt;0),
IF(C$2="Imperial",
(ABS(F$88)-ABS(F$87)*INDEX($F$131:$F$143,MATCH(F$89,$C$131:$C$143,0)))^INDEX($D$131:$D$143,MATCH(F$89,$C$131:$C$143,0))*(INDEX($E$131:$E$143,MATCH(F$89,$C$131:$C$143,0))+ABS(F$88)*INDEX($H$131:$H$143,MATCH(F$89,$C$131:$C$143,0))),
(ABS(F$88)-ABS(F$87)*INDEX($F$131:$F$143,MATCH(F$89,$C$131:$C$143,0)))^INDEX($D$131:$D$143,MATCH(F$89,$C$131:$C$143,0))*(INDEX($E$131:$E$143,MATCH(F$89,$C$131:$C$143,0))+ABS(F$88)*INDEX($H$131:$H$143,MATCH(F$89,$C$131:$C$143,0)))
*1.699010796),"- -") ),"")</f>
        <v>175.6</v>
      </c>
      <c r="G90" s="92"/>
      <c r="H90" s="123"/>
      <c r="I90" s="42"/>
      <c r="J90" s="9"/>
      <c r="K90" s="60"/>
      <c r="L90" s="96"/>
    </row>
    <row r="91" spans="1:12" ht="17.100000000000001" customHeight="1" x14ac:dyDescent="0.3">
      <c r="A91" s="58"/>
      <c r="B91" s="9"/>
      <c r="E91" s="88" t="s">
        <v>45</v>
      </c>
      <c r="F91" s="104">
        <f>IFERROR(IF($C$2="Imperial", F$90/(1.0755*SQRT(ABS($F$87))), F$90*SQRT(1.1988)/(0.61*3600*SQRT(2*ABS($F$87)))*10000),"")</f>
        <v>32.654579265457926</v>
      </c>
      <c r="G91" s="104"/>
      <c r="H91" s="54"/>
      <c r="I91" s="42"/>
      <c r="J91" s="9"/>
      <c r="K91" s="60"/>
      <c r="L91" s="94"/>
    </row>
    <row r="92" spans="1:12" ht="27" customHeight="1" x14ac:dyDescent="0.3">
      <c r="A92" s="58"/>
      <c r="B92" s="9"/>
      <c r="E92" s="88" t="s">
        <v>57</v>
      </c>
      <c r="F92" s="93">
        <f>IFERROR(F90/(ABS(F87)^$F$93),"")</f>
        <v>25.454261788360672</v>
      </c>
      <c r="G92" s="93"/>
      <c r="H92" s="53"/>
      <c r="I92" s="42"/>
      <c r="J92" s="9"/>
      <c r="K92" s="60"/>
      <c r="L92" s="94"/>
    </row>
    <row r="93" spans="1:12" ht="16.5" customHeight="1" x14ac:dyDescent="0.3">
      <c r="A93" s="58"/>
      <c r="B93" s="9"/>
      <c r="E93" s="88" t="s">
        <v>93</v>
      </c>
      <c r="F93" s="153">
        <f>IF(C32="","", C32)</f>
        <v>0.6</v>
      </c>
      <c r="G93" s="93"/>
      <c r="H93" s="53"/>
      <c r="I93" s="42"/>
      <c r="J93" s="9"/>
      <c r="K93" s="60"/>
      <c r="L93" s="94"/>
    </row>
    <row r="94" spans="1:12" ht="38.1" customHeight="1" x14ac:dyDescent="0.35">
      <c r="A94" s="58"/>
      <c r="B94" s="190" t="s">
        <v>83</v>
      </c>
      <c r="C94" s="190"/>
      <c r="D94" s="190"/>
      <c r="E94" s="190"/>
      <c r="F94" s="190"/>
      <c r="G94" s="190"/>
      <c r="H94" s="190"/>
      <c r="I94" s="190"/>
      <c r="J94" s="190"/>
      <c r="K94" s="58"/>
      <c r="L94" s="94"/>
    </row>
    <row r="95" spans="1:12" ht="26.25" customHeight="1" x14ac:dyDescent="0.3">
      <c r="A95" s="58"/>
      <c r="B95" s="9"/>
      <c r="E95" s="88" t="str">
        <f>H13</f>
        <v>Total Duct Leakage</v>
      </c>
      <c r="F95" s="191">
        <f>IFERROR(F90,"")</f>
        <v>175.6</v>
      </c>
      <c r="G95" s="191"/>
      <c r="H95" s="192" t="str">
        <f>IFERROR(IF(AND(H16+5&gt;ABS(F87),H16-5&lt;ABS(F87)),"","ERROR: Target Test Pressure does not match for Duct Pressure data! Check your data or the input for Target Test Pressure"),"")</f>
        <v/>
      </c>
      <c r="I95" s="192"/>
      <c r="J95" s="9"/>
      <c r="K95" s="58"/>
      <c r="L95" s="94"/>
    </row>
    <row r="96" spans="1:12" ht="17.100000000000001" customHeight="1" x14ac:dyDescent="0.3">
      <c r="A96" s="58"/>
      <c r="B96" s="9"/>
      <c r="E96" s="88" t="s">
        <v>64</v>
      </c>
      <c r="F96" s="98">
        <f>IFERROR(F90/G76,"")</f>
        <v>0.29266666666666663</v>
      </c>
      <c r="G96" s="89"/>
      <c r="H96" s="192"/>
      <c r="I96" s="192"/>
      <c r="J96" s="9"/>
      <c r="K96" s="58"/>
      <c r="L96" s="94"/>
    </row>
    <row r="97" spans="1:12" ht="17.100000000000001" customHeight="1" x14ac:dyDescent="0.3">
      <c r="A97" s="58"/>
      <c r="B97" s="9"/>
      <c r="E97" s="88" t="s">
        <v>61</v>
      </c>
      <c r="F97" s="191">
        <f>IF(C46="","",IFERROR(F95*C46,""))</f>
        <v>105.36</v>
      </c>
      <c r="G97" s="191"/>
      <c r="H97" s="192"/>
      <c r="I97" s="192"/>
      <c r="J97" s="9"/>
      <c r="K97" s="58"/>
      <c r="L97" s="94"/>
    </row>
    <row r="98" spans="1:12" ht="17.100000000000001" hidden="1" customHeight="1" x14ac:dyDescent="0.3">
      <c r="A98" s="58"/>
      <c r="B98" s="9"/>
      <c r="E98" s="88" t="str">
        <f>IF(ISNUMBER(G91),"Average Leakage Area", "Leakage Area")</f>
        <v>Leakage Area</v>
      </c>
      <c r="F98" s="187">
        <f>IFERROR(AVERAGE(F91,G91),"")</f>
        <v>32.654579265457926</v>
      </c>
      <c r="G98" s="187"/>
      <c r="H98" s="192"/>
      <c r="I98" s="192"/>
      <c r="J98" s="9"/>
      <c r="K98" s="58"/>
      <c r="L98" s="94"/>
    </row>
    <row r="99" spans="1:12" ht="17.100000000000001" customHeight="1" x14ac:dyDescent="0.3">
      <c r="A99" s="58"/>
      <c r="B99" s="9"/>
      <c r="E99" s="88" t="str">
        <f>IF(ISNUMBER(G90),"Average Leakage/Conditioned Floor Area", "Leakage/Conditioned Floor Area")</f>
        <v>Leakage/Conditioned Floor Area</v>
      </c>
      <c r="F99" s="187">
        <f>IFERROR(IF(C2="Imperial", F95/G75,""),"")</f>
        <v>0.34230019493177388</v>
      </c>
      <c r="G99" s="187"/>
      <c r="H99" s="192"/>
      <c r="I99" s="192"/>
      <c r="J99" s="9"/>
      <c r="K99" s="58"/>
      <c r="L99" s="94"/>
    </row>
    <row r="100" spans="1:12" ht="17.100000000000001" customHeight="1" x14ac:dyDescent="0.3">
      <c r="A100" s="58"/>
      <c r="B100" s="9"/>
      <c r="E100" s="88"/>
      <c r="F100" s="187">
        <f>IFERROR(IF(C2="Imperial", F95/(G75/100),""),"")</f>
        <v>34.230019493177387</v>
      </c>
      <c r="G100" s="187"/>
      <c r="H100" s="192"/>
      <c r="I100" s="192"/>
      <c r="J100" s="9"/>
      <c r="K100" s="58"/>
      <c r="L100" s="94"/>
    </row>
    <row r="101" spans="1:12" ht="17.100000000000001" customHeight="1" x14ac:dyDescent="0.3">
      <c r="A101" s="58"/>
      <c r="B101" s="9"/>
      <c r="E101" s="87"/>
      <c r="F101" s="187">
        <f>IFERROR(IF(C2="Imperial", F95/(G75/1000),""),"")</f>
        <v>342.30019493177389</v>
      </c>
      <c r="G101" s="187"/>
      <c r="H101" s="192"/>
      <c r="I101" s="192"/>
      <c r="J101" s="9"/>
      <c r="K101" s="58"/>
      <c r="L101" s="94"/>
    </row>
    <row r="102" spans="1:12" ht="38.1" customHeight="1" x14ac:dyDescent="0.35">
      <c r="A102" s="58"/>
      <c r="B102" s="190" t="s">
        <v>105</v>
      </c>
      <c r="C102" s="190"/>
      <c r="D102" s="190"/>
      <c r="E102" s="190"/>
      <c r="F102" s="190"/>
      <c r="G102" s="190"/>
      <c r="H102" s="190"/>
      <c r="I102" s="190"/>
      <c r="J102" s="190"/>
      <c r="K102" s="58"/>
      <c r="L102" s="94"/>
    </row>
    <row r="103" spans="1:12" ht="26.25" hidden="1" customHeight="1" x14ac:dyDescent="0.3">
      <c r="A103" s="58"/>
      <c r="B103" s="9"/>
      <c r="E103" s="88"/>
      <c r="F103" s="135"/>
      <c r="G103" s="135"/>
      <c r="H103" s="20"/>
      <c r="J103" s="9"/>
      <c r="K103" s="58"/>
      <c r="L103" s="94"/>
    </row>
    <row r="104" spans="1:12" ht="18.75" hidden="1" customHeight="1" x14ac:dyDescent="0.3">
      <c r="A104" s="58"/>
      <c r="B104" s="9"/>
      <c r="E104" s="88"/>
      <c r="F104" s="91"/>
      <c r="G104" s="91"/>
      <c r="H104" s="20"/>
      <c r="J104" s="9"/>
      <c r="K104" s="58"/>
      <c r="L104" s="94"/>
    </row>
    <row r="105" spans="1:12" ht="18.75" hidden="1" customHeight="1" x14ac:dyDescent="0.3">
      <c r="A105" s="58"/>
      <c r="B105" s="9"/>
      <c r="E105" s="88"/>
      <c r="F105" s="120"/>
      <c r="G105" s="120"/>
      <c r="H105" s="20"/>
      <c r="J105" s="9"/>
      <c r="K105" s="58"/>
      <c r="L105" s="94"/>
    </row>
    <row r="106" spans="1:12" ht="18.75" hidden="1" customHeight="1" x14ac:dyDescent="0.3">
      <c r="A106" s="58"/>
      <c r="B106" s="9"/>
      <c r="E106" s="88"/>
      <c r="F106" s="119"/>
      <c r="G106" s="119"/>
      <c r="H106" s="20"/>
      <c r="J106" s="9"/>
      <c r="K106" s="58"/>
      <c r="L106" s="94"/>
    </row>
    <row r="107" spans="1:12" ht="28.5" customHeight="1" x14ac:dyDescent="0.25">
      <c r="A107" s="58"/>
      <c r="B107" s="114"/>
      <c r="C107" s="114"/>
      <c r="D107" s="114"/>
      <c r="E107" s="88" t="str">
        <f>IF(AND(ISNUMBER(C56),ISNUMBER(D56),ISNUMBER(C31)),"HVAC System Efficiency Loss","")</f>
        <v>HVAC System Efficiency Loss</v>
      </c>
      <c r="F107" s="124">
        <f>IFERROR(IF(AND(ISNUMBER(C56),ISNUMBER(D56),ISNUMBER(C31)),IF(H13="Duct Leakage to Outdoors",F95*(C56+D56)/G76,IF(H13="Total Duct Leakage",F97*(C56+D56)/G76,"")),""),"")</f>
        <v>0.13169999999999998</v>
      </c>
      <c r="G107" s="14"/>
      <c r="H107" s="114"/>
      <c r="I107" s="114"/>
      <c r="J107" s="114"/>
      <c r="K107" s="58"/>
      <c r="L107" s="94"/>
    </row>
    <row r="108" spans="1:12" ht="17.100000000000001" customHeight="1" x14ac:dyDescent="0.25">
      <c r="A108" s="58"/>
      <c r="B108" s="114"/>
      <c r="C108" s="114"/>
      <c r="D108" s="114"/>
      <c r="E108" s="88" t="str">
        <f>IF(ISNUMBER(C47),"Annual Cooling Loss","")</f>
        <v>Annual Cooling Loss</v>
      </c>
      <c r="F108" s="136">
        <f>IFERROR(IF(ISNUMBER(C47),F107*C47,""), "")</f>
        <v>144.86999999999998</v>
      </c>
      <c r="G108" s="137"/>
      <c r="H108" s="114"/>
      <c r="I108" s="114"/>
      <c r="J108" s="114"/>
      <c r="K108" s="58"/>
      <c r="L108" s="94"/>
    </row>
    <row r="109" spans="1:12" ht="17.100000000000001" customHeight="1" x14ac:dyDescent="0.25">
      <c r="A109" s="58"/>
      <c r="B109" s="114"/>
      <c r="C109" s="114"/>
      <c r="D109" s="114"/>
      <c r="E109" s="88" t="str">
        <f>IF(ISNUMBER(C48),"Annual Heating Loss","")</f>
        <v>Annual Heating Loss</v>
      </c>
      <c r="F109" s="136">
        <f>IFERROR(IF(ISNUMBER(C48),F107*C48,""),"")</f>
        <v>197.54999999999998</v>
      </c>
      <c r="G109" s="138"/>
      <c r="H109" s="114"/>
      <c r="I109" s="114"/>
      <c r="J109" s="114"/>
      <c r="K109" s="58"/>
      <c r="L109" s="94"/>
    </row>
    <row r="110" spans="1:12" ht="17.100000000000001" customHeight="1" x14ac:dyDescent="0.25">
      <c r="A110" s="58"/>
      <c r="B110" s="115"/>
      <c r="C110" s="115"/>
      <c r="D110" s="115"/>
      <c r="E110" s="88" t="str">
        <f>IF(ISNUMBER(C49),"Annual Operating SEER","")</f>
        <v>Annual Operating SEER</v>
      </c>
      <c r="F110" s="139">
        <f>IFERROR(IF(ISNUMBER(C49),(1-F107)*C49,""),"")</f>
        <v>8.6829999999999998</v>
      </c>
      <c r="G110" s="140"/>
      <c r="H110" s="115"/>
      <c r="I110" s="115"/>
      <c r="J110" s="115"/>
      <c r="K110" s="58"/>
      <c r="L110" s="94"/>
    </row>
    <row r="111" spans="1:12" ht="7.5" customHeight="1" x14ac:dyDescent="0.25">
      <c r="A111" s="58"/>
      <c r="B111" s="51"/>
      <c r="C111" s="51"/>
      <c r="D111" s="51"/>
      <c r="E111" s="88"/>
      <c r="F111" s="51"/>
      <c r="G111" s="51"/>
      <c r="H111" s="51"/>
      <c r="I111" s="51"/>
      <c r="J111" s="51"/>
      <c r="K111" s="58"/>
      <c r="L111" s="94"/>
    </row>
    <row r="112" spans="1:12" ht="18.75" customHeight="1" x14ac:dyDescent="0.2">
      <c r="A112" s="58"/>
      <c r="B112" s="116"/>
      <c r="C112" s="116"/>
      <c r="D112" s="116"/>
      <c r="E112" s="117"/>
      <c r="F112" s="116"/>
      <c r="G112" s="116"/>
      <c r="H112" s="116"/>
      <c r="I112" s="116"/>
      <c r="J112" s="116"/>
      <c r="K112" s="58"/>
      <c r="L112" s="94"/>
    </row>
    <row r="113" spans="1:12" ht="18.75" hidden="1" customHeight="1" x14ac:dyDescent="0.2">
      <c r="A113" s="58"/>
      <c r="B113" s="116"/>
      <c r="C113" s="116"/>
      <c r="D113" s="116"/>
      <c r="E113" s="117"/>
      <c r="F113" s="116"/>
      <c r="G113" s="116"/>
      <c r="H113" s="116"/>
      <c r="I113" s="116"/>
      <c r="J113" s="116"/>
      <c r="K113" s="58"/>
      <c r="L113" s="94"/>
    </row>
    <row r="114" spans="1:12" ht="18.75" hidden="1" customHeight="1" x14ac:dyDescent="0.2">
      <c r="A114" s="58"/>
      <c r="B114" s="116"/>
      <c r="C114" s="116"/>
      <c r="D114" s="116"/>
      <c r="E114" s="117"/>
      <c r="F114" s="116"/>
      <c r="G114" s="116"/>
      <c r="H114" s="116"/>
      <c r="I114" s="116"/>
      <c r="J114" s="116"/>
      <c r="K114" s="58"/>
      <c r="L114" s="94"/>
    </row>
    <row r="115" spans="1:12" ht="18.75" hidden="1" customHeight="1" x14ac:dyDescent="0.2">
      <c r="A115" s="58"/>
      <c r="B115" s="116"/>
      <c r="C115" s="116"/>
      <c r="D115" s="116"/>
      <c r="E115" s="117"/>
      <c r="F115" s="116"/>
      <c r="G115" s="116"/>
      <c r="H115" s="116"/>
      <c r="I115" s="116"/>
      <c r="J115" s="116"/>
      <c r="K115" s="58"/>
      <c r="L115" s="94"/>
    </row>
    <row r="116" spans="1:12" ht="18.75" hidden="1" customHeight="1" x14ac:dyDescent="0.2">
      <c r="A116" s="58"/>
      <c r="B116" s="116"/>
      <c r="C116" s="116"/>
      <c r="D116" s="116"/>
      <c r="E116" s="116"/>
      <c r="F116" s="116"/>
      <c r="G116" s="116"/>
      <c r="H116" s="116"/>
      <c r="I116" s="116"/>
      <c r="J116" s="116"/>
      <c r="K116" s="58"/>
      <c r="L116" s="94"/>
    </row>
    <row r="117" spans="1:12" ht="18.75" hidden="1" customHeight="1" x14ac:dyDescent="0.2">
      <c r="A117" s="58"/>
      <c r="B117" s="116"/>
      <c r="C117" s="116"/>
      <c r="D117" s="116"/>
      <c r="E117" s="116"/>
      <c r="F117" s="116"/>
      <c r="G117" s="116"/>
      <c r="H117" s="116"/>
      <c r="I117" s="116"/>
      <c r="J117" s="116"/>
      <c r="K117" s="58"/>
      <c r="L117" s="94"/>
    </row>
    <row r="118" spans="1:12" ht="18.75" hidden="1" customHeight="1" x14ac:dyDescent="0.2">
      <c r="A118" s="58"/>
      <c r="B118" s="116"/>
      <c r="C118" s="116"/>
      <c r="D118" s="116"/>
      <c r="E118" s="116"/>
      <c r="F118" s="116"/>
      <c r="G118" s="116"/>
      <c r="H118" s="116"/>
      <c r="I118" s="116"/>
      <c r="J118" s="116"/>
      <c r="K118" s="58"/>
      <c r="L118" s="94"/>
    </row>
    <row r="119" spans="1:12" ht="15" hidden="1" customHeight="1" x14ac:dyDescent="0.2">
      <c r="A119" s="58"/>
      <c r="B119" s="61"/>
      <c r="C119" s="61"/>
      <c r="D119" s="61"/>
      <c r="E119" s="61"/>
      <c r="F119" s="62"/>
      <c r="G119" s="61"/>
      <c r="H119" s="61"/>
      <c r="I119" s="61"/>
      <c r="J119" s="63"/>
      <c r="K119" s="58"/>
      <c r="L119" s="94"/>
    </row>
    <row r="120" spans="1:12" ht="15" customHeight="1" x14ac:dyDescent="0.2">
      <c r="A120" s="20"/>
      <c r="B120" s="48"/>
      <c r="C120" s="48"/>
      <c r="D120" s="48"/>
      <c r="E120" s="48"/>
      <c r="F120" s="49"/>
      <c r="G120" s="48"/>
      <c r="H120" s="48"/>
      <c r="I120" s="48"/>
      <c r="J120" s="50"/>
      <c r="K120" s="20"/>
    </row>
    <row r="121" spans="1:12" ht="15" customHeight="1" x14ac:dyDescent="0.2">
      <c r="A121" s="20"/>
      <c r="B121" s="48"/>
      <c r="C121" s="48"/>
      <c r="D121" s="48"/>
      <c r="E121" s="48"/>
      <c r="F121" s="49"/>
      <c r="G121" s="48"/>
      <c r="H121" s="48"/>
      <c r="I121" s="48"/>
      <c r="J121" s="50"/>
      <c r="K121" s="20"/>
    </row>
    <row r="122" spans="1:12" ht="15" customHeight="1" x14ac:dyDescent="0.2">
      <c r="A122" s="20"/>
      <c r="B122" s="189"/>
      <c r="C122" s="189"/>
      <c r="D122" s="189"/>
      <c r="E122" s="189"/>
      <c r="F122" s="189"/>
      <c r="G122" s="189"/>
      <c r="H122" s="189"/>
      <c r="I122" s="189"/>
      <c r="J122" s="189"/>
      <c r="K122" s="20"/>
    </row>
    <row r="123" spans="1:12" ht="21" hidden="1" customHeight="1" x14ac:dyDescent="0.3">
      <c r="A123" s="20"/>
      <c r="B123" s="182" t="s">
        <v>18</v>
      </c>
      <c r="C123" s="182"/>
      <c r="D123" s="182"/>
      <c r="E123" s="182"/>
      <c r="F123" s="182"/>
      <c r="G123" s="182"/>
      <c r="H123" s="182"/>
      <c r="I123" s="182"/>
      <c r="J123" s="182"/>
      <c r="K123" s="20"/>
    </row>
    <row r="124" spans="1:12" ht="15" hidden="1" customHeight="1" x14ac:dyDescent="0.2">
      <c r="A124" s="20"/>
      <c r="B124" s="183" t="s">
        <v>35</v>
      </c>
      <c r="C124" s="183"/>
      <c r="D124" s="183"/>
      <c r="E124" s="183"/>
      <c r="F124" s="183"/>
      <c r="G124" s="183"/>
      <c r="H124" s="183"/>
      <c r="I124" s="183"/>
      <c r="J124" s="183"/>
      <c r="K124" s="20"/>
    </row>
    <row r="125" spans="1:12" ht="15" hidden="1" customHeight="1" x14ac:dyDescent="0.2">
      <c r="A125" s="20"/>
      <c r="B125" s="14"/>
      <c r="C125" s="17" t="s">
        <v>16</v>
      </c>
      <c r="D125" s="15" t="s">
        <v>14</v>
      </c>
      <c r="F125" s="21"/>
      <c r="G125" s="14"/>
      <c r="H125" s="14"/>
      <c r="I125" s="14"/>
      <c r="J125" s="14"/>
      <c r="K125" s="20"/>
    </row>
    <row r="126" spans="1:12" ht="15" hidden="1" customHeight="1" x14ac:dyDescent="0.2">
      <c r="A126" s="20"/>
      <c r="B126" s="14"/>
      <c r="C126" s="15"/>
      <c r="D126" s="15" t="s">
        <v>15</v>
      </c>
      <c r="F126" s="21"/>
      <c r="G126" s="16"/>
      <c r="H126" s="16"/>
      <c r="I126" s="16"/>
      <c r="J126" s="16"/>
      <c r="K126" s="20"/>
    </row>
    <row r="127" spans="1:12" ht="15" hidden="1" customHeight="1" x14ac:dyDescent="0.2">
      <c r="A127" s="20"/>
      <c r="B127" s="14"/>
      <c r="C127" s="16"/>
      <c r="D127" s="21" t="s">
        <v>19</v>
      </c>
      <c r="F127" s="21"/>
      <c r="G127" s="16"/>
      <c r="H127" s="16"/>
      <c r="I127" s="16"/>
      <c r="J127" s="16"/>
      <c r="K127" s="20"/>
    </row>
    <row r="128" spans="1:12" hidden="1" x14ac:dyDescent="0.2">
      <c r="A128" s="42"/>
      <c r="B128" s="5"/>
      <c r="C128" s="8"/>
      <c r="D128" s="11"/>
      <c r="E128" s="8"/>
      <c r="F128" s="13"/>
      <c r="G128" s="10"/>
      <c r="H128" s="8"/>
      <c r="I128" s="11"/>
      <c r="J128" s="56"/>
      <c r="K128" s="20"/>
    </row>
    <row r="129" spans="1:11" hidden="1" x14ac:dyDescent="0.2">
      <c r="A129" s="42"/>
      <c r="B129" s="5"/>
      <c r="C129" s="22" t="s">
        <v>10</v>
      </c>
      <c r="D129" s="184" t="s">
        <v>12</v>
      </c>
      <c r="E129" s="185"/>
      <c r="F129" s="185"/>
      <c r="G129" s="185"/>
      <c r="H129" s="186"/>
      <c r="I129" s="12" t="s">
        <v>75</v>
      </c>
      <c r="J129" s="56"/>
      <c r="K129" s="20"/>
    </row>
    <row r="130" spans="1:11" hidden="1" x14ac:dyDescent="0.2">
      <c r="A130" s="42"/>
      <c r="B130" s="5"/>
      <c r="C130" s="23" t="s">
        <v>11</v>
      </c>
      <c r="D130" s="24" t="s">
        <v>3</v>
      </c>
      <c r="E130" s="25" t="s">
        <v>4</v>
      </c>
      <c r="F130" s="25" t="s">
        <v>5</v>
      </c>
      <c r="G130" s="25" t="s">
        <v>6</v>
      </c>
      <c r="H130" s="26" t="s">
        <v>7</v>
      </c>
      <c r="I130" s="27" t="s">
        <v>13</v>
      </c>
      <c r="J130" s="56"/>
      <c r="K130" s="20"/>
    </row>
    <row r="131" spans="1:11" hidden="1" x14ac:dyDescent="0.2">
      <c r="A131" s="42"/>
      <c r="B131" s="5" t="s">
        <v>110</v>
      </c>
      <c r="C131" s="29" t="s">
        <v>109</v>
      </c>
      <c r="D131" s="30">
        <v>0.51149999999999995</v>
      </c>
      <c r="E131" s="31">
        <v>30.7774</v>
      </c>
      <c r="F131" s="32">
        <v>0</v>
      </c>
      <c r="G131" s="28">
        <v>0.2</v>
      </c>
      <c r="H131" s="33">
        <v>0</v>
      </c>
      <c r="I131" s="34">
        <v>10</v>
      </c>
      <c r="J131" s="56"/>
      <c r="K131" s="42"/>
    </row>
    <row r="132" spans="1:11" hidden="1" x14ac:dyDescent="0.2">
      <c r="A132" s="42"/>
      <c r="B132" s="5"/>
      <c r="C132" s="29" t="s">
        <v>8</v>
      </c>
      <c r="D132" s="30">
        <v>0.54149999999999998</v>
      </c>
      <c r="E132" s="35">
        <v>5.9146000000000001</v>
      </c>
      <c r="F132" s="32">
        <v>0</v>
      </c>
      <c r="G132" s="28">
        <v>0.5</v>
      </c>
      <c r="H132" s="33">
        <v>0</v>
      </c>
      <c r="I132" s="34">
        <v>25</v>
      </c>
      <c r="J132" s="56"/>
      <c r="K132" s="42"/>
    </row>
    <row r="133" spans="1:11" hidden="1" x14ac:dyDescent="0.2">
      <c r="A133" s="42"/>
      <c r="B133" s="5"/>
      <c r="C133" s="36" t="s">
        <v>9</v>
      </c>
      <c r="D133" s="37">
        <v>0.61250000000000004</v>
      </c>
      <c r="E133" s="38">
        <v>1.0056</v>
      </c>
      <c r="F133" s="39">
        <v>-2.4E-2</v>
      </c>
      <c r="G133" s="40">
        <v>0.5</v>
      </c>
      <c r="H133" s="41">
        <v>-2.0000000000000001E-4</v>
      </c>
      <c r="I133" s="27">
        <v>25</v>
      </c>
      <c r="J133" s="56"/>
      <c r="K133" s="42"/>
    </row>
    <row r="134" spans="1:11" hidden="1" x14ac:dyDescent="0.2">
      <c r="A134" s="42"/>
      <c r="B134" s="5"/>
      <c r="C134" s="167" t="s">
        <v>106</v>
      </c>
      <c r="D134" s="168"/>
      <c r="E134" s="169"/>
      <c r="F134" s="168"/>
      <c r="G134" s="170"/>
      <c r="H134" s="168"/>
      <c r="I134" s="171"/>
      <c r="J134" s="56"/>
      <c r="K134" s="42"/>
    </row>
    <row r="135" spans="1:11" hidden="1" x14ac:dyDescent="0.2">
      <c r="A135" s="42"/>
      <c r="B135" s="5" t="s">
        <v>108</v>
      </c>
      <c r="C135" s="29" t="s">
        <v>111</v>
      </c>
      <c r="D135" s="32">
        <v>0.51500000000000001</v>
      </c>
      <c r="E135" s="35">
        <v>27.9</v>
      </c>
      <c r="F135" s="32">
        <v>0</v>
      </c>
      <c r="G135" s="28">
        <v>0.04</v>
      </c>
      <c r="H135" s="32">
        <v>0</v>
      </c>
      <c r="I135" s="29">
        <v>10</v>
      </c>
      <c r="J135" s="56"/>
      <c r="K135" s="42"/>
    </row>
    <row r="136" spans="1:11" hidden="1" x14ac:dyDescent="0.2">
      <c r="A136" s="42"/>
      <c r="B136" s="5"/>
      <c r="C136" s="29">
        <v>102</v>
      </c>
      <c r="D136" s="32">
        <v>0.51</v>
      </c>
      <c r="E136" s="35">
        <v>17</v>
      </c>
      <c r="F136" s="32">
        <v>1E-3</v>
      </c>
      <c r="G136" s="28">
        <v>7.1999999999999995E-2</v>
      </c>
      <c r="H136" s="32">
        <v>-2.0000000000000001E-4</v>
      </c>
      <c r="I136" s="29">
        <v>18</v>
      </c>
      <c r="J136" s="56"/>
      <c r="K136" s="42"/>
    </row>
    <row r="137" spans="1:11" hidden="1" x14ac:dyDescent="0.2">
      <c r="A137" s="42"/>
      <c r="B137" s="5"/>
      <c r="C137" s="29">
        <v>74</v>
      </c>
      <c r="D137" s="32">
        <v>0.5</v>
      </c>
      <c r="E137" s="35">
        <v>7.05</v>
      </c>
      <c r="F137" s="32">
        <v>0</v>
      </c>
      <c r="G137" s="28">
        <v>0.16</v>
      </c>
      <c r="H137" s="32">
        <v>1E-4</v>
      </c>
      <c r="I137" s="29">
        <v>40</v>
      </c>
      <c r="J137" s="56"/>
      <c r="K137" s="42"/>
    </row>
    <row r="138" spans="1:11" hidden="1" x14ac:dyDescent="0.2">
      <c r="A138" s="42"/>
      <c r="B138" s="5"/>
      <c r="C138" s="29">
        <v>47</v>
      </c>
      <c r="D138" s="32">
        <v>0.5</v>
      </c>
      <c r="E138" s="35">
        <v>2.94</v>
      </c>
      <c r="F138" s="32">
        <v>-0.01</v>
      </c>
      <c r="G138" s="28">
        <v>0.1</v>
      </c>
      <c r="H138" s="32">
        <v>1E-4</v>
      </c>
      <c r="I138" s="29">
        <v>25</v>
      </c>
      <c r="J138" s="56"/>
      <c r="K138" s="42"/>
    </row>
    <row r="139" spans="1:11" hidden="1" x14ac:dyDescent="0.2">
      <c r="A139" s="42"/>
      <c r="B139" s="5"/>
      <c r="C139" s="29">
        <v>29</v>
      </c>
      <c r="D139" s="32">
        <v>0.5</v>
      </c>
      <c r="E139" s="35">
        <v>1.1919999999999999</v>
      </c>
      <c r="F139" s="32">
        <v>0</v>
      </c>
      <c r="G139" s="28">
        <v>3.5999999999999997E-2</v>
      </c>
      <c r="H139" s="32">
        <v>0</v>
      </c>
      <c r="I139" s="29">
        <v>9</v>
      </c>
      <c r="J139" s="56"/>
      <c r="K139" s="42"/>
    </row>
    <row r="140" spans="1:11" hidden="1" x14ac:dyDescent="0.2">
      <c r="A140" s="42"/>
      <c r="B140" s="5"/>
      <c r="C140" s="29">
        <v>18</v>
      </c>
      <c r="D140" s="32">
        <v>0.5</v>
      </c>
      <c r="E140" s="35">
        <v>0.442</v>
      </c>
      <c r="F140" s="32">
        <v>-0.01</v>
      </c>
      <c r="G140" s="28">
        <v>0.14000000000000001</v>
      </c>
      <c r="H140" s="32">
        <v>0</v>
      </c>
      <c r="I140" s="29">
        <v>35</v>
      </c>
      <c r="J140" s="56"/>
      <c r="K140" s="42"/>
    </row>
    <row r="141" spans="1:11" hidden="1" x14ac:dyDescent="0.2">
      <c r="A141" s="42"/>
      <c r="B141" s="5"/>
      <c r="C141" s="29">
        <v>11</v>
      </c>
      <c r="D141" s="32">
        <v>0.53</v>
      </c>
      <c r="E141" s="35">
        <v>0.1464</v>
      </c>
      <c r="F141" s="32">
        <v>-7.0000000000000007E-2</v>
      </c>
      <c r="G141" s="28">
        <v>0.18</v>
      </c>
      <c r="H141" s="32">
        <v>0</v>
      </c>
      <c r="I141" s="29">
        <v>45</v>
      </c>
      <c r="J141" s="56"/>
      <c r="K141" s="42"/>
    </row>
    <row r="142" spans="1:11" hidden="1" x14ac:dyDescent="0.2">
      <c r="A142" s="42"/>
      <c r="B142" s="5"/>
      <c r="C142" s="29">
        <v>7</v>
      </c>
      <c r="D142" s="32">
        <v>0.44500000000000001</v>
      </c>
      <c r="E142" s="35">
        <v>8.1000000000000003E-2</v>
      </c>
      <c r="F142" s="32">
        <v>0</v>
      </c>
      <c r="G142" s="28">
        <v>0.1</v>
      </c>
      <c r="H142" s="32">
        <v>2.0000000000000002E-5</v>
      </c>
      <c r="I142" s="29">
        <v>25</v>
      </c>
      <c r="J142" s="56"/>
      <c r="K142" s="42"/>
    </row>
    <row r="143" spans="1:11" hidden="1" x14ac:dyDescent="0.2">
      <c r="A143" s="42"/>
      <c r="B143" s="5"/>
      <c r="C143" s="29">
        <v>3</v>
      </c>
      <c r="D143" s="32">
        <v>0.44500000000000001</v>
      </c>
      <c r="E143" s="35">
        <v>1.8118019328464071E-2</v>
      </c>
      <c r="F143" s="32">
        <v>0</v>
      </c>
      <c r="G143" s="28">
        <v>0.1</v>
      </c>
      <c r="H143" s="32">
        <v>6.9999999999999999E-6</v>
      </c>
      <c r="I143" s="29">
        <v>25</v>
      </c>
      <c r="J143" s="56"/>
      <c r="K143" s="42"/>
    </row>
    <row r="144" spans="1:11" hidden="1" x14ac:dyDescent="0.2">
      <c r="A144" s="42"/>
      <c r="B144" s="5"/>
      <c r="C144" s="167" t="s">
        <v>106</v>
      </c>
      <c r="D144" s="168"/>
      <c r="E144" s="169"/>
      <c r="F144" s="168"/>
      <c r="G144" s="170"/>
      <c r="H144" s="168"/>
      <c r="I144" s="171"/>
      <c r="J144" s="56"/>
      <c r="K144" s="42"/>
    </row>
    <row r="145" spans="1:12" hidden="1" x14ac:dyDescent="0.2">
      <c r="A145" s="42" t="s">
        <v>112</v>
      </c>
      <c r="B145" s="5"/>
      <c r="C145" s="28"/>
      <c r="D145" s="32"/>
      <c r="E145" s="35"/>
      <c r="F145" s="32"/>
      <c r="G145" s="28"/>
      <c r="H145" s="32"/>
      <c r="I145" s="28"/>
      <c r="J145" s="56"/>
      <c r="K145" s="42"/>
    </row>
    <row r="146" spans="1:12" hidden="1" x14ac:dyDescent="0.2">
      <c r="A146" s="42"/>
      <c r="B146" s="5"/>
      <c r="C146" s="28"/>
      <c r="D146" s="32"/>
      <c r="E146" s="35"/>
      <c r="F146" s="32"/>
      <c r="G146" s="28"/>
      <c r="H146" s="32"/>
      <c r="I146" s="28"/>
      <c r="J146" s="56"/>
      <c r="K146" s="42"/>
    </row>
    <row r="147" spans="1:12" hidden="1" x14ac:dyDescent="0.2">
      <c r="A147" s="42"/>
      <c r="B147" s="86"/>
      <c r="C147" s="66"/>
      <c r="D147" s="86" t="s">
        <v>17</v>
      </c>
      <c r="E147" s="66"/>
      <c r="F147" s="66"/>
      <c r="G147" s="66"/>
      <c r="H147" s="66"/>
      <c r="I147" s="66"/>
      <c r="J147" s="66"/>
      <c r="K147" s="42"/>
    </row>
    <row r="148" spans="1:12" x14ac:dyDescent="0.2">
      <c r="A148" s="42"/>
      <c r="B148" s="1"/>
      <c r="J148" s="1"/>
      <c r="K148" s="42"/>
    </row>
    <row r="149" spans="1:12" x14ac:dyDescent="0.2">
      <c r="A149" s="42"/>
      <c r="B149" s="1"/>
      <c r="J149" s="1"/>
      <c r="K149" s="42"/>
    </row>
    <row r="150" spans="1:12" x14ac:dyDescent="0.2">
      <c r="A150" s="42"/>
      <c r="B150" s="1"/>
      <c r="J150" s="1"/>
      <c r="K150" s="42"/>
    </row>
    <row r="151" spans="1:12" x14ac:dyDescent="0.2">
      <c r="A151" s="42"/>
      <c r="B151" s="1"/>
      <c r="C151" s="4"/>
      <c r="D151" s="1"/>
      <c r="E151" s="1"/>
      <c r="F151" s="1"/>
      <c r="I151" s="1"/>
      <c r="J151" s="1"/>
      <c r="K151" s="42"/>
    </row>
    <row r="152" spans="1:12" x14ac:dyDescent="0.2">
      <c r="B152" s="20"/>
      <c r="C152" s="20"/>
      <c r="D152" s="20"/>
      <c r="E152" s="4"/>
      <c r="F152" s="42"/>
      <c r="I152" s="20"/>
      <c r="J152" s="20"/>
      <c r="K152" s="20"/>
      <c r="L152" s="20"/>
    </row>
    <row r="153" spans="1:12" x14ac:dyDescent="0.2">
      <c r="B153" s="20"/>
      <c r="C153" s="20"/>
      <c r="D153" s="20"/>
      <c r="E153" s="4"/>
      <c r="F153" s="45"/>
      <c r="I153" s="42"/>
      <c r="J153" s="42"/>
      <c r="K153" s="20"/>
      <c r="L153" s="20"/>
    </row>
    <row r="154" spans="1:12" x14ac:dyDescent="0.2">
      <c r="B154" s="20"/>
      <c r="C154" s="20"/>
      <c r="D154" s="20"/>
      <c r="E154" s="4"/>
      <c r="F154" s="45"/>
      <c r="I154" s="42"/>
      <c r="J154" s="20"/>
      <c r="K154" s="20"/>
      <c r="L154" s="20"/>
    </row>
    <row r="155" spans="1:12" x14ac:dyDescent="0.2">
      <c r="B155" s="20"/>
      <c r="C155" s="20"/>
      <c r="D155" s="20"/>
      <c r="E155" s="4"/>
      <c r="F155" s="45"/>
      <c r="G155" s="20"/>
      <c r="H155" s="20"/>
      <c r="I155" s="20"/>
      <c r="J155" s="20"/>
      <c r="K155" s="20"/>
      <c r="L155" s="20"/>
    </row>
    <row r="156" spans="1:12" x14ac:dyDescent="0.2">
      <c r="B156" s="20"/>
      <c r="C156" s="20"/>
      <c r="D156" s="20"/>
      <c r="E156" s="4"/>
      <c r="F156" s="45"/>
      <c r="G156" s="20"/>
      <c r="H156" s="20"/>
      <c r="I156" s="20"/>
      <c r="J156" s="20"/>
      <c r="K156" s="20"/>
      <c r="L156" s="20"/>
    </row>
    <row r="157" spans="1:12" x14ac:dyDescent="0.2">
      <c r="B157" s="20"/>
      <c r="C157" s="20"/>
      <c r="D157" s="20"/>
      <c r="E157" s="4"/>
      <c r="F157" s="45"/>
      <c r="G157" s="20"/>
      <c r="H157" s="20"/>
      <c r="I157" s="20"/>
      <c r="J157" s="20"/>
      <c r="K157" s="20"/>
      <c r="L157" s="20"/>
    </row>
    <row r="158" spans="1:12" x14ac:dyDescent="0.2">
      <c r="B158" s="20"/>
      <c r="C158" s="4"/>
      <c r="D158" s="45"/>
      <c r="E158" s="20"/>
      <c r="F158" s="42"/>
      <c r="G158" s="20"/>
      <c r="H158" s="20"/>
      <c r="I158" s="20"/>
      <c r="J158" s="20"/>
      <c r="K158" s="20"/>
      <c r="L158" s="20"/>
    </row>
    <row r="159" spans="1:12" x14ac:dyDescent="0.2">
      <c r="B159" s="20"/>
      <c r="C159" s="20"/>
      <c r="D159" s="4"/>
      <c r="E159" s="42"/>
      <c r="F159" s="42"/>
      <c r="G159" s="42"/>
      <c r="H159" s="42"/>
      <c r="I159" s="20"/>
      <c r="J159" s="20"/>
      <c r="K159" s="20"/>
      <c r="L159" s="20"/>
    </row>
    <row r="160" spans="1:12" x14ac:dyDescent="0.2">
      <c r="B160" s="20"/>
      <c r="C160" s="20"/>
      <c r="D160" s="4"/>
      <c r="E160" s="45"/>
      <c r="F160" s="42"/>
      <c r="G160" s="45"/>
      <c r="H160" s="42"/>
      <c r="I160" s="20"/>
      <c r="J160" s="20"/>
      <c r="K160" s="20"/>
      <c r="L160" s="20"/>
    </row>
    <row r="161" spans="2:12" x14ac:dyDescent="0.2">
      <c r="B161" s="20"/>
      <c r="C161" s="20"/>
      <c r="D161" s="4"/>
      <c r="E161" s="45"/>
      <c r="F161" s="20"/>
      <c r="G161" s="45"/>
      <c r="H161" s="42"/>
      <c r="I161" s="42"/>
      <c r="J161" s="20"/>
      <c r="K161" s="20"/>
      <c r="L161" s="20"/>
    </row>
    <row r="162" spans="2:12" x14ac:dyDescent="0.2">
      <c r="B162" s="20"/>
      <c r="C162" s="20"/>
      <c r="D162" s="4"/>
      <c r="E162" s="44"/>
      <c r="F162" s="20"/>
      <c r="G162" s="44"/>
      <c r="H162" s="20"/>
      <c r="I162" s="20"/>
      <c r="J162" s="20"/>
      <c r="K162" s="20"/>
      <c r="L162" s="20"/>
    </row>
    <row r="163" spans="2:12" x14ac:dyDescent="0.2">
      <c r="B163" s="20"/>
      <c r="C163" s="20"/>
      <c r="D163" s="4"/>
      <c r="E163" s="45"/>
      <c r="F163" s="42"/>
      <c r="G163" s="45"/>
      <c r="H163" s="42"/>
      <c r="I163" s="42"/>
      <c r="J163" s="20"/>
      <c r="K163" s="20"/>
      <c r="L163" s="20"/>
    </row>
    <row r="164" spans="2:12" x14ac:dyDescent="0.2">
      <c r="B164" s="20"/>
      <c r="C164" s="20"/>
      <c r="D164" s="4"/>
      <c r="E164" s="45"/>
      <c r="F164" s="42"/>
      <c r="G164" s="45"/>
      <c r="H164" s="42"/>
      <c r="I164" s="42"/>
      <c r="J164" s="20"/>
      <c r="K164" s="20"/>
      <c r="L164" s="20"/>
    </row>
    <row r="165" spans="2:12" x14ac:dyDescent="0.2">
      <c r="B165" s="20"/>
      <c r="C165" s="20"/>
      <c r="D165" s="4"/>
      <c r="E165" s="45"/>
      <c r="F165" s="42"/>
      <c r="G165" s="45"/>
      <c r="H165" s="42"/>
      <c r="I165" s="42"/>
      <c r="J165" s="20"/>
      <c r="K165" s="20"/>
      <c r="L165" s="20"/>
    </row>
    <row r="166" spans="2:12" x14ac:dyDescent="0.2">
      <c r="B166" s="20"/>
      <c r="C166" s="20"/>
      <c r="D166" s="4"/>
      <c r="E166" s="47"/>
      <c r="F166" s="20"/>
      <c r="G166" s="47"/>
      <c r="H166" s="20"/>
      <c r="I166" s="20"/>
      <c r="J166" s="20"/>
      <c r="K166" s="20"/>
      <c r="L166" s="20"/>
    </row>
    <row r="167" spans="2:12" x14ac:dyDescent="0.2">
      <c r="B167" s="20"/>
      <c r="C167" s="20"/>
      <c r="D167" s="4"/>
      <c r="E167" s="47"/>
      <c r="F167" s="20"/>
      <c r="G167" s="47"/>
      <c r="H167" s="20"/>
      <c r="I167" s="42"/>
      <c r="J167" s="20"/>
      <c r="K167" s="20"/>
      <c r="L167" s="20"/>
    </row>
    <row r="168" spans="2:12" x14ac:dyDescent="0.2">
      <c r="B168" s="20"/>
      <c r="C168" s="20"/>
      <c r="D168" s="4"/>
      <c r="E168" s="46"/>
      <c r="F168" s="20"/>
      <c r="G168" s="46"/>
      <c r="H168" s="20"/>
      <c r="I168" s="42"/>
      <c r="J168" s="20"/>
      <c r="K168" s="20"/>
      <c r="L168" s="20"/>
    </row>
    <row r="169" spans="2:12" x14ac:dyDescent="0.2">
      <c r="B169" s="20"/>
      <c r="C169" s="20"/>
      <c r="D169" s="4"/>
      <c r="E169" s="46"/>
      <c r="F169" s="20"/>
      <c r="G169" s="46"/>
      <c r="H169" s="20"/>
      <c r="I169" s="42"/>
      <c r="J169" s="20"/>
      <c r="K169" s="20"/>
      <c r="L169" s="20"/>
    </row>
    <row r="170" spans="2:12" x14ac:dyDescent="0.2">
      <c r="B170" s="20"/>
      <c r="C170" s="20"/>
      <c r="D170" s="4"/>
      <c r="E170" s="45"/>
      <c r="F170" s="20"/>
      <c r="G170" s="46"/>
      <c r="H170" s="20"/>
      <c r="I170" s="42"/>
      <c r="J170" s="20"/>
      <c r="K170" s="20"/>
      <c r="L170" s="20"/>
    </row>
    <row r="171" spans="2:12" x14ac:dyDescent="0.2">
      <c r="B171" s="20"/>
      <c r="C171" s="4"/>
      <c r="D171" s="4"/>
      <c r="E171" s="45"/>
      <c r="F171" s="20"/>
      <c r="G171" s="20"/>
      <c r="H171" s="20"/>
      <c r="I171" s="20"/>
      <c r="J171" s="20"/>
      <c r="K171" s="20"/>
      <c r="L171" s="20"/>
    </row>
    <row r="172" spans="2:12" x14ac:dyDescent="0.2">
      <c r="B172" s="20"/>
      <c r="C172" s="4"/>
      <c r="D172" s="20"/>
      <c r="E172" s="20"/>
      <c r="F172" s="20"/>
      <c r="G172" s="20"/>
      <c r="H172" s="20"/>
      <c r="I172" s="20"/>
      <c r="J172" s="20"/>
      <c r="K172" s="20"/>
      <c r="L172" s="20"/>
    </row>
    <row r="173" spans="2:12" x14ac:dyDescent="0.2">
      <c r="B173" s="20"/>
      <c r="C173" s="20"/>
      <c r="D173" s="44"/>
      <c r="E173" s="20"/>
      <c r="F173" s="42"/>
      <c r="G173" s="20"/>
      <c r="H173" s="20"/>
      <c r="I173" s="20"/>
      <c r="J173" s="20"/>
      <c r="K173" s="20"/>
      <c r="L173" s="20"/>
    </row>
    <row r="174" spans="2:12" x14ac:dyDescent="0.2">
      <c r="B174" s="20"/>
      <c r="C174" s="20"/>
      <c r="D174" s="4"/>
      <c r="E174" s="42"/>
      <c r="F174" s="42"/>
      <c r="G174" s="42"/>
      <c r="H174" s="42"/>
      <c r="I174" s="20"/>
      <c r="J174" s="20"/>
      <c r="K174" s="20"/>
      <c r="L174" s="20"/>
    </row>
    <row r="175" spans="2:12" x14ac:dyDescent="0.2">
      <c r="B175" s="20"/>
      <c r="C175" s="20"/>
      <c r="D175" s="4"/>
      <c r="E175" s="45"/>
      <c r="F175" s="42"/>
      <c r="G175" s="45"/>
      <c r="H175" s="42"/>
      <c r="I175" s="20"/>
      <c r="J175" s="20"/>
      <c r="K175" s="20"/>
      <c r="L175" s="20"/>
    </row>
    <row r="176" spans="2:12" x14ac:dyDescent="0.2">
      <c r="B176" s="20"/>
      <c r="C176" s="20"/>
      <c r="D176" s="4"/>
      <c r="E176" s="45"/>
      <c r="F176" s="20"/>
      <c r="G176" s="45"/>
      <c r="H176" s="42"/>
      <c r="I176" s="42"/>
      <c r="J176" s="20"/>
      <c r="K176" s="20"/>
      <c r="L176" s="20"/>
    </row>
    <row r="177" spans="2:12" x14ac:dyDescent="0.2">
      <c r="B177" s="20"/>
      <c r="C177" s="20"/>
      <c r="D177" s="4"/>
      <c r="E177" s="44"/>
      <c r="F177" s="20"/>
      <c r="G177" s="44"/>
      <c r="H177" s="20"/>
      <c r="I177" s="20"/>
      <c r="J177" s="20"/>
      <c r="K177" s="20"/>
      <c r="L177" s="20"/>
    </row>
    <row r="178" spans="2:12" x14ac:dyDescent="0.2">
      <c r="B178" s="20"/>
      <c r="C178" s="20"/>
      <c r="D178" s="4"/>
      <c r="E178" s="45"/>
      <c r="F178" s="42"/>
      <c r="G178" s="45"/>
      <c r="H178" s="42"/>
      <c r="I178" s="42"/>
      <c r="J178" s="20"/>
      <c r="K178" s="20"/>
      <c r="L178" s="20"/>
    </row>
    <row r="179" spans="2:12" x14ac:dyDescent="0.2">
      <c r="B179" s="20"/>
      <c r="C179" s="20"/>
      <c r="D179" s="4"/>
      <c r="E179" s="45"/>
      <c r="F179" s="42"/>
      <c r="G179" s="45"/>
      <c r="H179" s="42"/>
      <c r="I179" s="42"/>
      <c r="J179" s="20"/>
      <c r="K179" s="20"/>
      <c r="L179" s="20"/>
    </row>
    <row r="180" spans="2:12" x14ac:dyDescent="0.2">
      <c r="B180" s="20"/>
      <c r="C180" s="20"/>
      <c r="D180" s="4"/>
      <c r="E180" s="45"/>
      <c r="F180" s="42"/>
      <c r="G180" s="45"/>
      <c r="H180" s="42"/>
      <c r="I180" s="42"/>
      <c r="J180" s="20"/>
      <c r="K180" s="20"/>
      <c r="L180" s="20"/>
    </row>
    <row r="181" spans="2:12" x14ac:dyDescent="0.2">
      <c r="B181" s="20"/>
      <c r="C181" s="20"/>
      <c r="D181" s="4"/>
      <c r="E181" s="47"/>
      <c r="F181" s="20"/>
      <c r="G181" s="47"/>
      <c r="H181" s="20"/>
      <c r="I181" s="20"/>
      <c r="J181" s="20"/>
      <c r="K181" s="20"/>
      <c r="L181" s="20"/>
    </row>
    <row r="182" spans="2:12" x14ac:dyDescent="0.2">
      <c r="B182" s="20"/>
      <c r="C182" s="20"/>
      <c r="D182" s="4"/>
      <c r="E182" s="47"/>
      <c r="F182" s="20"/>
      <c r="G182" s="47"/>
      <c r="H182" s="20"/>
      <c r="I182" s="20"/>
      <c r="J182" s="20"/>
      <c r="K182" s="20"/>
      <c r="L182" s="20"/>
    </row>
    <row r="183" spans="2:12" x14ac:dyDescent="0.2">
      <c r="B183" s="20"/>
      <c r="C183" s="20"/>
      <c r="D183" s="4"/>
      <c r="E183" s="46"/>
      <c r="F183" s="20"/>
      <c r="G183" s="46"/>
      <c r="H183" s="20"/>
      <c r="I183" s="42"/>
      <c r="J183" s="20"/>
      <c r="K183" s="20"/>
      <c r="L183" s="20"/>
    </row>
    <row r="184" spans="2:12" x14ac:dyDescent="0.2">
      <c r="B184" s="20"/>
      <c r="C184" s="20"/>
      <c r="D184" s="4"/>
      <c r="E184" s="46"/>
      <c r="F184" s="20"/>
      <c r="G184" s="46"/>
      <c r="H184" s="20"/>
      <c r="I184" s="42"/>
      <c r="J184" s="20"/>
      <c r="K184" s="20"/>
      <c r="L184" s="20"/>
    </row>
    <row r="185" spans="2:12" x14ac:dyDescent="0.2">
      <c r="B185" s="20"/>
      <c r="C185" s="20"/>
      <c r="D185" s="4"/>
      <c r="E185" s="45"/>
      <c r="F185" s="20"/>
      <c r="G185" s="46"/>
      <c r="H185" s="20"/>
      <c r="I185" s="42"/>
      <c r="J185" s="20"/>
      <c r="K185" s="20"/>
      <c r="L185" s="20"/>
    </row>
    <row r="186" spans="2:12" x14ac:dyDescent="0.2">
      <c r="B186" s="20"/>
      <c r="C186" s="20"/>
      <c r="D186" s="4"/>
      <c r="E186" s="45"/>
      <c r="F186" s="20"/>
      <c r="G186" s="20"/>
      <c r="H186" s="20"/>
      <c r="I186" s="20"/>
      <c r="J186" s="20"/>
      <c r="K186" s="20"/>
      <c r="L186" s="20"/>
    </row>
    <row r="187" spans="2:12" x14ac:dyDescent="0.2">
      <c r="B187" s="20"/>
      <c r="C187" s="20"/>
      <c r="D187" s="20"/>
      <c r="E187" s="20"/>
      <c r="F187" s="20"/>
      <c r="G187" s="20"/>
      <c r="H187" s="20"/>
      <c r="I187" s="20"/>
      <c r="J187" s="20"/>
      <c r="K187" s="20"/>
      <c r="L187" s="20"/>
    </row>
    <row r="188" spans="2:12" x14ac:dyDescent="0.2">
      <c r="B188" s="20"/>
      <c r="C188" s="20"/>
      <c r="D188" s="4"/>
      <c r="E188" s="47"/>
      <c r="F188" s="43"/>
      <c r="G188" s="20"/>
      <c r="H188" s="20"/>
      <c r="I188" s="43"/>
      <c r="J188" s="20"/>
      <c r="K188" s="20"/>
      <c r="L188" s="20"/>
    </row>
    <row r="189" spans="2:12" x14ac:dyDescent="0.2">
      <c r="B189" s="20"/>
      <c r="C189" s="20"/>
      <c r="D189" s="4"/>
      <c r="E189" s="47"/>
      <c r="F189" s="43"/>
      <c r="G189" s="20"/>
      <c r="H189" s="20"/>
      <c r="I189" s="43"/>
      <c r="J189" s="20"/>
      <c r="K189" s="20"/>
      <c r="L189" s="20"/>
    </row>
  </sheetData>
  <sheetProtection algorithmName="SHA-512" hashValue="3EQhvsTn3z8Yfd+sxaIXx/HfdAnb30A7ugMISyRWeB8sUhhz+4IrenmLB4Ly1/1aL5lLPkjbROD+0h+2VlTlPQ==" saltValue="U5ZSzquFotGdq4J/tkrJzw==" spinCount="100000" sheet="1" objects="1" scenarios="1" selectLockedCells="1"/>
  <mergeCells count="31">
    <mergeCell ref="B61:J61"/>
    <mergeCell ref="B62:J62"/>
    <mergeCell ref="C22:E22"/>
    <mergeCell ref="F99:G99"/>
    <mergeCell ref="B122:J122"/>
    <mergeCell ref="B74:J74"/>
    <mergeCell ref="F98:G98"/>
    <mergeCell ref="F95:G95"/>
    <mergeCell ref="F97:G97"/>
    <mergeCell ref="B94:J94"/>
    <mergeCell ref="H95:I101"/>
    <mergeCell ref="B102:J102"/>
    <mergeCell ref="B84:J84"/>
    <mergeCell ref="B123:J123"/>
    <mergeCell ref="B124:J124"/>
    <mergeCell ref="D129:H129"/>
    <mergeCell ref="F101:G101"/>
    <mergeCell ref="F100:G100"/>
    <mergeCell ref="C6:E6"/>
    <mergeCell ref="C25:E25"/>
    <mergeCell ref="C26:E26"/>
    <mergeCell ref="C27:E27"/>
    <mergeCell ref="C12:E12"/>
    <mergeCell ref="C8:E8"/>
    <mergeCell ref="C18:E18"/>
    <mergeCell ref="C19:E19"/>
    <mergeCell ref="C9:E9"/>
    <mergeCell ref="C10:E10"/>
    <mergeCell ref="C11:E11"/>
    <mergeCell ref="C20:E20"/>
    <mergeCell ref="C21:E21"/>
  </mergeCells>
  <phoneticPr fontId="0" type="noConversion"/>
  <conditionalFormatting sqref="D34">
    <cfRule type="expression" dxfId="37" priority="60">
      <formula>$D$34="Enter Data:"</formula>
    </cfRule>
  </conditionalFormatting>
  <conditionalFormatting sqref="C34">
    <cfRule type="expression" dxfId="36" priority="59">
      <formula>$C$34="Enter Data:"</formula>
    </cfRule>
  </conditionalFormatting>
  <conditionalFormatting sqref="G86">
    <cfRule type="expression" dxfId="35" priority="74">
      <formula>$G$15&gt;2</formula>
    </cfRule>
  </conditionalFormatting>
  <conditionalFormatting sqref="C30">
    <cfRule type="expression" dxfId="34" priority="76">
      <formula>$C$2="Imperial"</formula>
    </cfRule>
    <cfRule type="expression" dxfId="33" priority="77">
      <formula>$C$2="Metric"</formula>
    </cfRule>
  </conditionalFormatting>
  <conditionalFormatting sqref="C31">
    <cfRule type="expression" dxfId="32" priority="88">
      <formula>$C$2="Imperial"</formula>
    </cfRule>
    <cfRule type="expression" dxfId="31" priority="89">
      <formula>$C$2="Metric"</formula>
    </cfRule>
  </conditionalFormatting>
  <conditionalFormatting sqref="G75">
    <cfRule type="expression" dxfId="30" priority="91">
      <formula>$C$2="Imperial"</formula>
    </cfRule>
  </conditionalFormatting>
  <conditionalFormatting sqref="G75">
    <cfRule type="expression" dxfId="29" priority="90">
      <formula>$C$2="Metric"</formula>
    </cfRule>
  </conditionalFormatting>
  <conditionalFormatting sqref="C42:C43">
    <cfRule type="expression" dxfId="28" priority="34">
      <formula>$C$2="Metric"</formula>
    </cfRule>
    <cfRule type="expression" dxfId="27" priority="35">
      <formula>$C$2="Imperial"</formula>
    </cfRule>
  </conditionalFormatting>
  <conditionalFormatting sqref="G76">
    <cfRule type="expression" dxfId="26" priority="32">
      <formula>$C$2="Metric"</formula>
    </cfRule>
    <cfRule type="expression" dxfId="25" priority="33">
      <formula>$C$2="Imperial"</formula>
    </cfRule>
  </conditionalFormatting>
  <conditionalFormatting sqref="F90:G90">
    <cfRule type="expression" dxfId="24" priority="30">
      <formula>$C$2="Metric"</formula>
    </cfRule>
    <cfRule type="expression" dxfId="23" priority="31">
      <formula>$C$2="Imperial"</formula>
    </cfRule>
  </conditionalFormatting>
  <conditionalFormatting sqref="F91:G91">
    <cfRule type="expression" dxfId="22" priority="28">
      <formula>$C$2="Metric"</formula>
    </cfRule>
    <cfRule type="expression" dxfId="21" priority="29">
      <formula>$C$2="Imperial"</formula>
    </cfRule>
  </conditionalFormatting>
  <conditionalFormatting sqref="F95:G95">
    <cfRule type="expression" dxfId="20" priority="12">
      <formula>AND($C$2="Metric", $H$16=50)</formula>
    </cfRule>
    <cfRule type="expression" dxfId="19" priority="17">
      <formula>AND($C$2="Imperial", $H$16=25)</formula>
    </cfRule>
    <cfRule type="expression" dxfId="18" priority="24">
      <formula>AND($C$2="Metric", $H$16=25)</formula>
    </cfRule>
    <cfRule type="expression" dxfId="17" priority="25">
      <formula>AND($C$2="Imperial", $H$16=50)</formula>
    </cfRule>
  </conditionalFormatting>
  <conditionalFormatting sqref="F97:G97">
    <cfRule type="expression" dxfId="16" priority="22">
      <formula>$C$2="Metric"</formula>
    </cfRule>
    <cfRule type="expression" dxfId="15" priority="23">
      <formula>$C$2="Imperial"</formula>
    </cfRule>
  </conditionalFormatting>
  <conditionalFormatting sqref="F98:G98">
    <cfRule type="expression" dxfId="14" priority="11">
      <formula>AND($C$2="Metric", $H$16=50)</formula>
    </cfRule>
    <cfRule type="expression" dxfId="13" priority="13">
      <formula>AND($C$2="Imperial", $H$16=50)</formula>
    </cfRule>
    <cfRule type="expression" dxfId="12" priority="20">
      <formula>AND($C$2="Metric", $H$16=25)</formula>
    </cfRule>
    <cfRule type="expression" dxfId="11" priority="21">
      <formula>AND($C$2="Imperial", $H$16=25)</formula>
    </cfRule>
  </conditionalFormatting>
  <conditionalFormatting sqref="C37">
    <cfRule type="expression" dxfId="10" priority="19" stopIfTrue="1">
      <formula>$C$37="Enter Data:"</formula>
    </cfRule>
  </conditionalFormatting>
  <conditionalFormatting sqref="F99:G99">
    <cfRule type="expression" dxfId="9" priority="9" stopIfTrue="1">
      <formula>AND($C$2="Imperial", $H$16=50)</formula>
    </cfRule>
    <cfRule type="expression" dxfId="8" priority="10" stopIfTrue="1">
      <formula>AND($C$2="Imperial", $H$16=25)</formula>
    </cfRule>
  </conditionalFormatting>
  <conditionalFormatting sqref="F100:G100">
    <cfRule type="expression" dxfId="7" priority="7">
      <formula>AND($C$2="Imperial", $H$16=50)</formula>
    </cfRule>
    <cfRule type="expression" dxfId="6" priority="8">
      <formula>AND($C$2="Imperial", $H$16=25)</formula>
    </cfRule>
  </conditionalFormatting>
  <conditionalFormatting sqref="F101:G101">
    <cfRule type="expression" dxfId="5" priority="5" stopIfTrue="1">
      <formula>AND($C$2="Imperial", $H$16=50)</formula>
    </cfRule>
    <cfRule type="expression" dxfId="4" priority="6" stopIfTrue="1">
      <formula>AND($C$2="Imperial", $H$16=25)</formula>
    </cfRule>
  </conditionalFormatting>
  <conditionalFormatting sqref="F97:G97">
    <cfRule type="expression" dxfId="3" priority="1">
      <formula>AND($C$2="Metric", $H$16=50)</formula>
    </cfRule>
    <cfRule type="expression" dxfId="2" priority="2">
      <formula>AND($C$2="Imperial", $H$16=25)</formula>
    </cfRule>
    <cfRule type="expression" dxfId="1" priority="3">
      <formula>AND($C$2="Metric", $H$16=25)</formula>
    </cfRule>
    <cfRule type="expression" dxfId="0" priority="4">
      <formula>AND($C$2="Imperial", $H$16=50)</formula>
    </cfRule>
  </conditionalFormatting>
  <dataValidations count="10">
    <dataValidation type="list" allowBlank="1" showInputMessage="1" showErrorMessage="1" sqref="C39">
      <formula1>IF(C25=200,C131:C134, IF(C25=300,C135:C144,""))</formula1>
    </dataValidation>
    <dataValidation type="list" allowBlank="1" showInputMessage="1" showErrorMessage="1" sqref="C25:E25">
      <formula1>"200,300"</formula1>
    </dataValidation>
    <dataValidation type="decimal" allowBlank="1" showInputMessage="1" showErrorMessage="1" error="The Leakage Exponent, n, should be between 0.50 and 0.80" sqref="C32">
      <formula1>0.5</formula1>
      <formula2>0.8</formula2>
    </dataValidation>
    <dataValidation type="decimal" allowBlank="1" showInputMessage="1" showErrorMessage="1" error="Average Operating Pressures must be between 0 to 250 Pa" sqref="C52:D52">
      <formula1>0</formula1>
      <formula2>250</formula2>
    </dataValidation>
    <dataValidation type="decimal" allowBlank="1" showInputMessage="1" showErrorMessage="1" error="Leakage Split values must be between 0 and 1.0" sqref="C54:D54">
      <formula1>0</formula1>
      <formula2>1</formula2>
    </dataValidation>
    <dataValidation type="decimal" allowBlank="1" showInputMessage="1" showErrorMessage="1" error="Leakage Penalty value must be between 0 and 1.0" sqref="C55:D55">
      <formula1>0</formula1>
      <formula2>1</formula2>
    </dataValidation>
    <dataValidation type="date" allowBlank="1" showInputMessage="1" showErrorMessage="1" sqref="C28:E28">
      <formula1>29221</formula1>
      <formula2>73051</formula2>
    </dataValidation>
    <dataValidation type="list" allowBlank="1" showInputMessage="1" showErrorMessage="1" sqref="C2">
      <formula1>"Imperial, Metric"</formula1>
    </dataValidation>
    <dataValidation type="list" allowBlank="1" showInputMessage="1" showErrorMessage="1" sqref="C4">
      <formula1>"25 Pa, 50 Pa"</formula1>
    </dataValidation>
    <dataValidation type="date" allowBlank="1" showInputMessage="1" showErrorMessage="1" errorTitle="Date format incorrect" error="Date must be in the format:_x000a_YYYY-MM-DD_x000a__x000a_where:_x000a_YYYY=Year_x000a_MM=Month_x000a_DD=Day" sqref="C6:E6">
      <formula1>29221</formula1>
      <formula2>54789</formula2>
    </dataValidation>
  </dataValidations>
  <pageMargins left="0.05" right="0.05" top="0.05" bottom="0.05" header="0" footer="0"/>
  <pageSetup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06" r:id="rId4" name="Group Box 1110">
              <controlPr locked="0" defaultSize="0" autoFill="0" autoPict="0">
                <anchor moveWithCells="1">
                  <from>
                    <xdr:col>1</xdr:col>
                    <xdr:colOff>742950</xdr:colOff>
                    <xdr:row>2</xdr:row>
                    <xdr:rowOff>152400</xdr:rowOff>
                  </from>
                  <to>
                    <xdr:col>3</xdr:col>
                    <xdr:colOff>723900</xdr:colOff>
                    <xdr:row>2</xdr:row>
                    <xdr:rowOff>714375</xdr:rowOff>
                  </to>
                </anchor>
              </controlPr>
            </control>
          </mc:Choice>
        </mc:AlternateContent>
        <mc:AlternateContent xmlns:mc="http://schemas.openxmlformats.org/markup-compatibility/2006">
          <mc:Choice Requires="x14">
            <control shapeId="5207" r:id="rId5" name="Option Button 1111">
              <controlPr locked="0" defaultSize="0" autoFill="0" autoLine="0" autoPict="0" macro="[0]!TotalDuctLeakage_Click">
                <anchor moveWithCells="1">
                  <from>
                    <xdr:col>2</xdr:col>
                    <xdr:colOff>161925</xdr:colOff>
                    <xdr:row>2</xdr:row>
                    <xdr:rowOff>238125</xdr:rowOff>
                  </from>
                  <to>
                    <xdr:col>3</xdr:col>
                    <xdr:colOff>800100</xdr:colOff>
                    <xdr:row>2</xdr:row>
                    <xdr:rowOff>457200</xdr:rowOff>
                  </to>
                </anchor>
              </controlPr>
            </control>
          </mc:Choice>
        </mc:AlternateContent>
        <mc:AlternateContent xmlns:mc="http://schemas.openxmlformats.org/markup-compatibility/2006">
          <mc:Choice Requires="x14">
            <control shapeId="5208" r:id="rId6" name="Option Button 1112">
              <controlPr locked="0" defaultSize="0" autoFill="0" autoLine="0" autoPict="0" macro="[0]!DuctLeakageToOutdoors_Click">
                <anchor moveWithCells="1">
                  <from>
                    <xdr:col>2</xdr:col>
                    <xdr:colOff>161925</xdr:colOff>
                    <xdr:row>2</xdr:row>
                    <xdr:rowOff>428625</xdr:rowOff>
                  </from>
                  <to>
                    <xdr:col>3</xdr:col>
                    <xdr:colOff>809625</xdr:colOff>
                    <xdr:row>2</xdr:row>
                    <xdr:rowOff>647700</xdr:rowOff>
                  </to>
                </anchor>
              </controlPr>
            </control>
          </mc:Choice>
        </mc:AlternateContent>
        <mc:AlternateContent xmlns:mc="http://schemas.openxmlformats.org/markup-compatibility/2006">
          <mc:Choice Requires="x14">
            <control shapeId="5209" r:id="rId7" name="Group Box 1113">
              <controlPr defaultSize="0" autoFill="0" autoPict="0">
                <anchor moveWithCells="1">
                  <from>
                    <xdr:col>1</xdr:col>
                    <xdr:colOff>742950</xdr:colOff>
                    <xdr:row>34</xdr:row>
                    <xdr:rowOff>171450</xdr:rowOff>
                  </from>
                  <to>
                    <xdr:col>3</xdr:col>
                    <xdr:colOff>457200</xdr:colOff>
                    <xdr:row>34</xdr:row>
                    <xdr:rowOff>704850</xdr:rowOff>
                  </to>
                </anchor>
              </controlPr>
            </control>
          </mc:Choice>
        </mc:AlternateContent>
        <mc:AlternateContent xmlns:mc="http://schemas.openxmlformats.org/markup-compatibility/2006">
          <mc:Choice Requires="x14">
            <control shapeId="5210" r:id="rId8" name="Option Button 1114">
              <controlPr defaultSize="0" autoFill="0" autoLine="0" autoPict="0" macro="[0]!Depressurization_Click">
                <anchor moveWithCells="1">
                  <from>
                    <xdr:col>2</xdr:col>
                    <xdr:colOff>95250</xdr:colOff>
                    <xdr:row>34</xdr:row>
                    <xdr:rowOff>266700</xdr:rowOff>
                  </from>
                  <to>
                    <xdr:col>3</xdr:col>
                    <xdr:colOff>333375</xdr:colOff>
                    <xdr:row>34</xdr:row>
                    <xdr:rowOff>485775</xdr:rowOff>
                  </to>
                </anchor>
              </controlPr>
            </control>
          </mc:Choice>
        </mc:AlternateContent>
        <mc:AlternateContent xmlns:mc="http://schemas.openxmlformats.org/markup-compatibility/2006">
          <mc:Choice Requires="x14">
            <control shapeId="5211" r:id="rId9" name="Option Button 1115">
              <controlPr defaultSize="0" autoFill="0" autoLine="0" autoPict="0" macro="[0]!Pressurization_Click">
                <anchor moveWithCells="1">
                  <from>
                    <xdr:col>2</xdr:col>
                    <xdr:colOff>85725</xdr:colOff>
                    <xdr:row>34</xdr:row>
                    <xdr:rowOff>447675</xdr:rowOff>
                  </from>
                  <to>
                    <xdr:col>3</xdr:col>
                    <xdr:colOff>228600</xdr:colOff>
                    <xdr:row>34</xdr:row>
                    <xdr:rowOff>657225</xdr:rowOff>
                  </to>
                </anchor>
              </controlPr>
            </control>
          </mc:Choice>
        </mc:AlternateContent>
        <mc:AlternateContent xmlns:mc="http://schemas.openxmlformats.org/markup-compatibility/2006">
          <mc:Choice Requires="x14">
            <control shapeId="5565" r:id="rId10" name="Button 1469">
              <controlPr defaultSize="0" print="0" autoFill="0" autoPict="0" macro="[0]!Reset_Click">
                <anchor moveWithCells="1" sizeWithCells="1">
                  <from>
                    <xdr:col>2</xdr:col>
                    <xdr:colOff>247650</xdr:colOff>
                    <xdr:row>56</xdr:row>
                    <xdr:rowOff>38100</xdr:rowOff>
                  </from>
                  <to>
                    <xdr:col>3</xdr:col>
                    <xdr:colOff>781050</xdr:colOff>
                    <xdr:row>56</xdr:row>
                    <xdr:rowOff>257175</xdr:rowOff>
                  </to>
                </anchor>
              </controlPr>
            </control>
          </mc:Choice>
        </mc:AlternateContent>
        <mc:AlternateContent xmlns:mc="http://schemas.openxmlformats.org/markup-compatibility/2006">
          <mc:Choice Requires="x14">
            <control shapeId="5599" r:id="rId11" name="Button 1503">
              <controlPr defaultSize="0" print="0" autoFill="0" autoPict="0" macro="[0]!ClearTestData_Click">
                <anchor moveWithCells="1" sizeWithCells="1">
                  <from>
                    <xdr:col>2</xdr:col>
                    <xdr:colOff>38100</xdr:colOff>
                    <xdr:row>43</xdr:row>
                    <xdr:rowOff>38100</xdr:rowOff>
                  </from>
                  <to>
                    <xdr:col>2</xdr:col>
                    <xdr:colOff>962025</xdr:colOff>
                    <xdr:row>44</xdr:row>
                    <xdr:rowOff>9525</xdr:rowOff>
                  </to>
                </anchor>
              </controlPr>
            </control>
          </mc:Choice>
        </mc:AlternateContent>
        <mc:AlternateContent xmlns:mc="http://schemas.openxmlformats.org/markup-compatibility/2006">
          <mc:Choice Requires="x14">
            <control shapeId="5607" r:id="rId12" name="Button 1511">
              <controlPr defaultSize="0" print="0" autoFill="0" autoPict="0" macro="[0]!ClearInputs_Click">
                <anchor moveWithCells="1" sizeWithCells="1">
                  <from>
                    <xdr:col>0</xdr:col>
                    <xdr:colOff>38100</xdr:colOff>
                    <xdr:row>1</xdr:row>
                    <xdr:rowOff>28575</xdr:rowOff>
                  </from>
                  <to>
                    <xdr:col>0</xdr:col>
                    <xdr:colOff>1447800</xdr:colOff>
                    <xdr:row>2</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9"/>
  <sheetViews>
    <sheetView workbookViewId="0">
      <selection activeCell="B6" sqref="B6"/>
    </sheetView>
  </sheetViews>
  <sheetFormatPr defaultRowHeight="12.75" x14ac:dyDescent="0.2"/>
  <cols>
    <col min="1" max="1" width="36.7109375" customWidth="1"/>
    <col min="2" max="2" width="99.85546875" customWidth="1"/>
  </cols>
  <sheetData>
    <row r="1" spans="1:2" x14ac:dyDescent="0.2">
      <c r="B1" s="65" t="s">
        <v>25</v>
      </c>
    </row>
    <row r="2" spans="1:2" ht="28.5" x14ac:dyDescent="0.2">
      <c r="A2" s="64" t="s">
        <v>27</v>
      </c>
      <c r="B2" s="55" t="s">
        <v>36</v>
      </c>
    </row>
    <row r="3" spans="1:2" ht="42.75" x14ac:dyDescent="0.2">
      <c r="A3" s="64" t="s">
        <v>24</v>
      </c>
      <c r="B3" s="55" t="s">
        <v>37</v>
      </c>
    </row>
    <row r="4" spans="1:2" ht="106.5" x14ac:dyDescent="0.2">
      <c r="A4" s="64" t="s">
        <v>26</v>
      </c>
      <c r="B4" s="55" t="s">
        <v>38</v>
      </c>
    </row>
    <row r="5" spans="1:2" ht="52.5" x14ac:dyDescent="0.2">
      <c r="A5" s="64" t="s">
        <v>28</v>
      </c>
      <c r="B5" s="55" t="s">
        <v>43</v>
      </c>
    </row>
    <row r="6" spans="1:2" ht="78" x14ac:dyDescent="0.2">
      <c r="A6" s="64" t="s">
        <v>29</v>
      </c>
      <c r="B6" s="55" t="s">
        <v>39</v>
      </c>
    </row>
    <row r="7" spans="1:2" ht="39.75" x14ac:dyDescent="0.2">
      <c r="A7" s="64" t="s">
        <v>30</v>
      </c>
      <c r="B7" s="55" t="s">
        <v>40</v>
      </c>
    </row>
    <row r="8" spans="1:2" ht="81" x14ac:dyDescent="0.2">
      <c r="A8" s="64" t="s">
        <v>32</v>
      </c>
      <c r="B8" s="55" t="s">
        <v>41</v>
      </c>
    </row>
    <row r="9" spans="1:2" ht="81" x14ac:dyDescent="0.2">
      <c r="A9" s="64" t="s">
        <v>31</v>
      </c>
      <c r="B9" s="55"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Test Report</vt:lpstr>
      <vt:lpstr>'Test Report'!Print_Area</vt:lpstr>
    </vt:vector>
  </TitlesOfParts>
  <Company>Retrotec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dc:creator>
  <cp:lastModifiedBy>Stephen</cp:lastModifiedBy>
  <cp:lastPrinted>2014-08-18T16:40:36Z</cp:lastPrinted>
  <dcterms:created xsi:type="dcterms:W3CDTF">2006-06-08T20:53:36Z</dcterms:created>
  <dcterms:modified xsi:type="dcterms:W3CDTF">2014-09-17T23:36:56Z</dcterms:modified>
</cp:coreProperties>
</file>